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kmob.sharepoint.com/sites/Barnehage-ogskolebehovsplanrevisjon/Delte dokumenter/Revidering av barnehage og skolebehovsplanen 2023/REVIDERT PLAN -23/Revidert plan/Vedlegg til planen/"/>
    </mc:Choice>
  </mc:AlternateContent>
  <xr:revisionPtr revIDLastSave="824" documentId="8_{B35E2B30-3583-4B40-94A0-9F9FFF1A2C9B}" xr6:coauthVersionLast="47" xr6:coauthVersionMax="47" xr10:uidLastSave="{2B441731-E3C8-449B-ABB7-C44378AB08F4}"/>
  <bookViews>
    <workbookView xWindow="28800" yWindow="0" windowWidth="28800" windowHeight="15600" firstSheet="1" activeTab="1" xr2:uid="{9653DD8B-9CA6-44D3-AF15-8E8456F71BC4}"/>
  </bookViews>
  <sheets>
    <sheet name="Ark1" sheetId="3" r:id="rId1"/>
    <sheet name="Vedlegg 1. Grunnlagsdata skole " sheetId="2" r:id="rId2"/>
  </sheets>
  <definedNames>
    <definedName name="_xlnm._FilterDatabase" localSheetId="1" hidden="1">'Vedlegg 1. Grunnlagsdata skole '!$B$3:$AW$40</definedName>
  </definedNames>
  <calcPr calcId="191028"/>
  <pivotCaches>
    <pivotCache cacheId="356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9" i="2" l="1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6" i="2"/>
  <c r="AV7" i="2"/>
  <c r="AY6" i="2"/>
  <c r="AZ6" i="2" s="1"/>
  <c r="AY7" i="2"/>
  <c r="AZ7" i="2" s="1"/>
  <c r="AY8" i="2"/>
  <c r="AZ8" i="2" s="1"/>
  <c r="AY9" i="2"/>
  <c r="AZ9" i="2" s="1"/>
  <c r="AY10" i="2"/>
  <c r="AZ10" i="2" s="1"/>
  <c r="AY11" i="2"/>
  <c r="AZ11" i="2" s="1"/>
  <c r="AY12" i="2"/>
  <c r="AZ12" i="2" s="1"/>
  <c r="AY13" i="2"/>
  <c r="AZ13" i="2" s="1"/>
  <c r="AY14" i="2"/>
  <c r="AZ14" i="2" s="1"/>
  <c r="AY15" i="2"/>
  <c r="AZ15" i="2" s="1"/>
  <c r="AY16" i="2"/>
  <c r="AZ16" i="2" s="1"/>
  <c r="AY17" i="2"/>
  <c r="AZ17" i="2" s="1"/>
  <c r="AY18" i="2"/>
  <c r="AZ18" i="2" s="1"/>
  <c r="AY19" i="2"/>
  <c r="AZ19" i="2" s="1"/>
  <c r="AY21" i="2"/>
  <c r="AZ21" i="2" s="1"/>
  <c r="AY22" i="2"/>
  <c r="AY23" i="2"/>
  <c r="AZ23" i="2" s="1"/>
  <c r="AY24" i="2"/>
  <c r="AZ24" i="2" s="1"/>
  <c r="AY25" i="2"/>
  <c r="AZ25" i="2" s="1"/>
  <c r="AY26" i="2"/>
  <c r="AZ26" i="2" s="1"/>
  <c r="AY28" i="2"/>
  <c r="AZ28" i="2" s="1"/>
  <c r="AY29" i="2"/>
  <c r="AZ29" i="2" s="1"/>
  <c r="AO8" i="2"/>
  <c r="AV8" i="2" s="1"/>
  <c r="AO9" i="2"/>
  <c r="AO10" i="2"/>
  <c r="AO11" i="2"/>
  <c r="AO12" i="2"/>
  <c r="AO13" i="2"/>
  <c r="AO14" i="2"/>
  <c r="AO15" i="2"/>
  <c r="AO16" i="2"/>
  <c r="AO17" i="2"/>
  <c r="AO18" i="2"/>
  <c r="AO19" i="2"/>
  <c r="AO21" i="2"/>
  <c r="AO23" i="2"/>
  <c r="AO24" i="2"/>
  <c r="AO25" i="2"/>
  <c r="AO26" i="2"/>
  <c r="AO28" i="2"/>
  <c r="AO29" i="2"/>
  <c r="AO7" i="2"/>
  <c r="M29" i="2"/>
  <c r="M19" i="2"/>
  <c r="M21" i="2"/>
  <c r="M28" i="2"/>
  <c r="M23" i="2"/>
  <c r="M13" i="2"/>
  <c r="M7" i="2"/>
  <c r="M9" i="2"/>
  <c r="M11" i="2"/>
  <c r="M18" i="2"/>
  <c r="L14" i="2"/>
  <c r="L18" i="2"/>
  <c r="L8" i="2"/>
  <c r="L9" i="2"/>
  <c r="L11" i="2"/>
  <c r="K9" i="2"/>
  <c r="K18" i="2"/>
  <c r="K23" i="2"/>
  <c r="K8" i="2"/>
  <c r="J21" i="2"/>
  <c r="J18" i="2"/>
  <c r="J14" i="2"/>
  <c r="J8" i="2"/>
  <c r="I14" i="2"/>
  <c r="I23" i="2"/>
  <c r="I18" i="2"/>
  <c r="H28" i="2"/>
  <c r="H23" i="2"/>
  <c r="H7" i="2"/>
  <c r="C30" i="2" l="1"/>
  <c r="I11" i="2" l="1"/>
  <c r="H11" i="2"/>
  <c r="G11" i="2"/>
  <c r="F11" i="2"/>
  <c r="E11" i="2"/>
  <c r="D11" i="2"/>
  <c r="M10" i="2"/>
  <c r="M30" i="2" s="1"/>
  <c r="L10" i="2"/>
  <c r="L30" i="2" s="1"/>
  <c r="K10" i="2"/>
  <c r="K30" i="2" s="1"/>
  <c r="J10" i="2"/>
  <c r="J30" i="2" s="1"/>
  <c r="I10" i="2"/>
  <c r="H10" i="2"/>
  <c r="G10" i="2"/>
  <c r="F10" i="2"/>
  <c r="E10" i="2"/>
  <c r="D10" i="2"/>
  <c r="H9" i="2"/>
  <c r="G9" i="2"/>
  <c r="F9" i="2"/>
  <c r="E9" i="2"/>
  <c r="D9" i="2"/>
  <c r="S20" i="2"/>
  <c r="S21" i="2"/>
  <c r="S22" i="2"/>
  <c r="S23" i="2"/>
  <c r="S24" i="2"/>
  <c r="S25" i="2"/>
  <c r="S26" i="2"/>
  <c r="S27" i="2"/>
  <c r="S18" i="2"/>
  <c r="S28" i="2"/>
  <c r="S29" i="2"/>
  <c r="F30" i="2" l="1"/>
  <c r="D30" i="2"/>
  <c r="E30" i="2"/>
  <c r="I30" i="2"/>
  <c r="G30" i="2"/>
  <c r="H30" i="2"/>
  <c r="AB23" i="2"/>
  <c r="AB21" i="2"/>
  <c r="AB26" i="2"/>
  <c r="U26" i="2"/>
  <c r="X26" i="2" s="1"/>
  <c r="Y26" i="2"/>
  <c r="AB17" i="2"/>
  <c r="U17" i="2"/>
  <c r="X17" i="2" s="1"/>
  <c r="S17" i="2"/>
  <c r="Y17" i="2" s="1"/>
  <c r="AB25" i="2"/>
  <c r="U25" i="2"/>
  <c r="X25" i="2" s="1"/>
  <c r="Y25" i="2"/>
  <c r="AN6" i="2"/>
  <c r="AB6" i="2"/>
  <c r="U6" i="2"/>
  <c r="S6" i="2"/>
  <c r="AB27" i="2"/>
  <c r="U27" i="2"/>
  <c r="X27" i="2" s="1"/>
  <c r="AB20" i="2"/>
  <c r="U20" i="2"/>
  <c r="AB29" i="2"/>
  <c r="U29" i="2"/>
  <c r="Y29" i="2"/>
  <c r="AB9" i="2"/>
  <c r="U9" i="2"/>
  <c r="S9" i="2"/>
  <c r="Y9" i="2" s="1"/>
  <c r="AB10" i="2"/>
  <c r="U10" i="2"/>
  <c r="S10" i="2"/>
  <c r="Y10" i="2" s="1"/>
  <c r="U23" i="2"/>
  <c r="Y23" i="2"/>
  <c r="U21" i="2"/>
  <c r="X21" i="2" s="1"/>
  <c r="Y21" i="2"/>
  <c r="AB24" i="2"/>
  <c r="U24" i="2"/>
  <c r="X24" i="2" s="1"/>
  <c r="Y24" i="2"/>
  <c r="AB16" i="2"/>
  <c r="U16" i="2"/>
  <c r="S16" i="2"/>
  <c r="Y16" i="2" s="1"/>
  <c r="AB15" i="2"/>
  <c r="U15" i="2"/>
  <c r="S15" i="2"/>
  <c r="Y15" i="2" s="1"/>
  <c r="AB14" i="2"/>
  <c r="U14" i="2"/>
  <c r="X14" i="2" s="1"/>
  <c r="S14" i="2"/>
  <c r="Y14" i="2" s="1"/>
  <c r="AB13" i="2"/>
  <c r="U13" i="2"/>
  <c r="X13" i="2" s="1"/>
  <c r="S13" i="2"/>
  <c r="Y13" i="2" s="1"/>
  <c r="AB19" i="2"/>
  <c r="U19" i="2"/>
  <c r="X19" i="2" s="1"/>
  <c r="S19" i="2"/>
  <c r="Y19" i="2" s="1"/>
  <c r="AB18" i="2"/>
  <c r="U18" i="2"/>
  <c r="X18" i="2" s="1"/>
  <c r="Y18" i="2"/>
  <c r="AB8" i="2"/>
  <c r="U8" i="2"/>
  <c r="X8" i="2" s="1"/>
  <c r="S8" i="2"/>
  <c r="Y8" i="2" s="1"/>
  <c r="AB12" i="2"/>
  <c r="U12" i="2"/>
  <c r="X12" i="2" s="1"/>
  <c r="S12" i="2"/>
  <c r="Y12" i="2" s="1"/>
  <c r="AB11" i="2"/>
  <c r="U11" i="2"/>
  <c r="X11" i="2" s="1"/>
  <c r="S11" i="2"/>
  <c r="Y11" i="2" s="1"/>
  <c r="AB7" i="2"/>
  <c r="U7" i="2"/>
  <c r="X7" i="2" s="1"/>
  <c r="S7" i="2"/>
  <c r="Y7" i="2" s="1"/>
  <c r="AB28" i="2"/>
  <c r="U28" i="2"/>
  <c r="X28" i="2" s="1"/>
  <c r="Y28" i="2"/>
  <c r="AG22" i="2"/>
  <c r="AB22" i="2"/>
  <c r="U22" i="2"/>
  <c r="X22" i="2" s="1"/>
  <c r="Y22" i="2"/>
  <c r="AO22" i="2" l="1"/>
  <c r="AZ22" i="2"/>
  <c r="X6" i="2"/>
  <c r="V6" i="2"/>
  <c r="V15" i="2"/>
  <c r="V23" i="2"/>
  <c r="V20" i="2"/>
  <c r="V29" i="2"/>
  <c r="X29" i="2"/>
  <c r="V16" i="2"/>
  <c r="X23" i="2"/>
  <c r="X16" i="2"/>
  <c r="V9" i="2"/>
  <c r="V22" i="2"/>
  <c r="V21" i="2"/>
  <c r="X9" i="2"/>
  <c r="X15" i="2"/>
  <c r="V10" i="2"/>
  <c r="X20" i="2"/>
  <c r="V24" i="2"/>
  <c r="X10" i="2"/>
  <c r="V25" i="2"/>
  <c r="V17" i="2"/>
  <c r="V26" i="2"/>
  <c r="V27" i="2"/>
  <c r="V28" i="2"/>
  <c r="V7" i="2"/>
  <c r="V11" i="2"/>
  <c r="V12" i="2"/>
  <c r="V8" i="2"/>
  <c r="V18" i="2"/>
  <c r="V19" i="2"/>
  <c r="V13" i="2"/>
  <c r="V14" i="2"/>
  <c r="Y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tc={8F95F941-6A8D-43A8-A5FE-BEF6E4AC9F6B}</author>
    <author>tc={F1942C82-96A5-466A-9765-D64C5ED11758}</author>
  </authors>
  <commentList>
    <comment ref="AG16" authorId="0" shapeId="0" xr:uid="{8F95F941-6A8D-43A8-A5FE-BEF6E4AC9F6B}">
      <text>
        <t>[Threaded comment]
Your version of Excel allows you to read this threaded comment; however, any edits to it will get removed if the file is opened in a newer version of Excel. Learn more: https://go.microsoft.com/fwlink/?linkid=870924
Comment:
    Inkl. nordstrandahallen</t>
      </text>
    </comment>
    <comment ref="AG18" authorId="1" shapeId="0" xr:uid="{F1942C82-96A5-466A-9765-D64C5ED11758}">
      <text>
        <t>[Threaded comment]
Your version of Excel allows you to read this threaded comment; however, any edits to it will get removed if the file is opened in a newer version of Excel. Learn more: https://go.microsoft.com/fwlink/?linkid=870924
Comment:
    Støver</t>
      </text>
    </comment>
  </commentList>
</comments>
</file>

<file path=xl/sharedStrings.xml><?xml version="1.0" encoding="utf-8"?>
<sst xmlns="http://schemas.openxmlformats.org/spreadsheetml/2006/main" count="259" uniqueCount="127">
  <si>
    <t>Radetiketter</t>
  </si>
  <si>
    <t>Antall av Skole </t>
  </si>
  <si>
    <t>Summer av 2021/22</t>
  </si>
  <si>
    <t>Summer av 2022/23</t>
  </si>
  <si>
    <t>Summer av 2023/24</t>
  </si>
  <si>
    <t> Tverlandet, Saltstraumen</t>
  </si>
  <si>
    <t>1-10'</t>
  </si>
  <si>
    <t>Saltstraumen skole</t>
  </si>
  <si>
    <t>Tverlandet skole</t>
  </si>
  <si>
    <t>Bodøsjøen-Alstad-Grønnåsen </t>
  </si>
  <si>
    <t>Bodøsjøen skole </t>
  </si>
  <si>
    <t>1-7`</t>
  </si>
  <si>
    <t>Alstad B </t>
  </si>
  <si>
    <t>Grønnåsen skole </t>
  </si>
  <si>
    <t>8-10`</t>
  </si>
  <si>
    <t>Alstad U </t>
  </si>
  <si>
    <t>Hunstad-Mørkved </t>
  </si>
  <si>
    <t>Hunstad B </t>
  </si>
  <si>
    <t>Mørkvedmarka</t>
  </si>
  <si>
    <t>Støver/Mørkvedbukta</t>
  </si>
  <si>
    <t>Hunstad U </t>
  </si>
  <si>
    <t>Kjerringøy</t>
  </si>
  <si>
    <t>Kjerringøy skole </t>
  </si>
  <si>
    <t>Nordsida </t>
  </si>
  <si>
    <t>Løpsmarka skole </t>
  </si>
  <si>
    <t>Skaug oppvekstsenter </t>
  </si>
  <si>
    <t>Rønvik-Saltvern</t>
  </si>
  <si>
    <t>Rønvik skole</t>
  </si>
  <si>
    <t>Saltvern skole </t>
  </si>
  <si>
    <t>Sentrum</t>
  </si>
  <si>
    <t>St. Øystein *</t>
  </si>
  <si>
    <t>Aspåsen skole </t>
  </si>
  <si>
    <t>Østbyen skole </t>
  </si>
  <si>
    <t>6-10`</t>
  </si>
  <si>
    <t>Alberthaugen skole</t>
  </si>
  <si>
    <t>Bankgata skole </t>
  </si>
  <si>
    <t>Norges toppidrettsgymnas (NTG) **</t>
  </si>
  <si>
    <t>Skjerstad og Misvær</t>
  </si>
  <si>
    <t>Misvær oppvekstsenter</t>
  </si>
  <si>
    <t>Skjerstad oppvekstsenter</t>
  </si>
  <si>
    <t>Væran</t>
  </si>
  <si>
    <t>Skolen i væran - Helligvær </t>
  </si>
  <si>
    <t>Skolen i væran - Landegode</t>
  </si>
  <si>
    <t>Totalsum</t>
  </si>
  <si>
    <t>Demografiutvikling</t>
  </si>
  <si>
    <r>
      <t>Bydel</t>
    </r>
    <r>
      <rPr>
        <sz val="9"/>
        <color rgb="FF000000"/>
        <rFont val="Calibri"/>
        <family val="2"/>
        <scheme val="minor"/>
      </rPr>
      <t> </t>
    </r>
  </si>
  <si>
    <t>Faktisk elevtall 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</si>
  <si>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</si>
  <si>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</si>
  <si>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</si>
  <si>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</si>
  <si>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</si>
  <si>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</si>
  <si>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</si>
  <si>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</si>
  <si>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</si>
  <si>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</si>
  <si>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Type</t>
  </si>
  <si>
    <r>
      <t>Skole</t>
    </r>
    <r>
      <rPr>
        <sz val="9"/>
        <color rgb="FF000000"/>
        <rFont val="Calibri"/>
        <family val="2"/>
        <scheme val="minor"/>
      </rPr>
      <t> </t>
    </r>
  </si>
  <si>
    <r>
      <t>Skoletype</t>
    </r>
    <r>
      <rPr>
        <sz val="9"/>
        <color rgb="FF000000"/>
        <rFont val="Calibri"/>
        <family val="2"/>
        <scheme val="minor"/>
      </rPr>
      <t> </t>
    </r>
  </si>
  <si>
    <t>Paraleller</t>
  </si>
  <si>
    <t>Eierform</t>
  </si>
  <si>
    <t>Antall elever skoleåret 2023-24</t>
  </si>
  <si>
    <t>Teoretisk max kapasitet</t>
  </si>
  <si>
    <t>Beregnet max kapasitet (85% av teoretisk kapasitet), Fritt skolevalg</t>
  </si>
  <si>
    <t>Ledig kapasitet (automatisk beregnet)</t>
  </si>
  <si>
    <t>Antall årsverk 2024 funksj 202</t>
  </si>
  <si>
    <t>Paralell pr kvm</t>
  </si>
  <si>
    <t>Elev pr. årsverk</t>
  </si>
  <si>
    <t>Antall ansatte funksjon 202</t>
  </si>
  <si>
    <t>Uteareal i mål (Tom Forsmo)</t>
  </si>
  <si>
    <t>Uteareal - Kvm pr elev</t>
  </si>
  <si>
    <t>Byggeår</t>
  </si>
  <si>
    <t>Tilstandsgrad</t>
  </si>
  <si>
    <t>Universiell utformingsgrad</t>
  </si>
  <si>
    <t>Vedlikeholdsår</t>
  </si>
  <si>
    <t>Bygg areal m2</t>
  </si>
  <si>
    <t>Effekt</t>
  </si>
  <si>
    <t>Spesialrom</t>
  </si>
  <si>
    <t>Plassering og tilgjengelighet</t>
  </si>
  <si>
    <t>Brukerfornøydhet</t>
  </si>
  <si>
    <t>Politisk saksbehandler</t>
  </si>
  <si>
    <t>FDV, forsyning og renholds kost pr. kvm. for denne byggtypen fra Norsk prisbok (oppdatert 30.10.2023</t>
  </si>
  <si>
    <t>Leiekostnader</t>
  </si>
  <si>
    <t>KVM år kost x areal i mill kr.</t>
  </si>
  <si>
    <t>Estimert vedlikeholdsetterslep og hvis nødvendig hovedombyggingskost/moderniseringstiltak. 30.10.2023</t>
  </si>
  <si>
    <t>Estimert Utomhuskost (Høy usikkerhet) 30.10.2023</t>
  </si>
  <si>
    <t>Faste kost. Administrasjonskost pr elev eller ansatt..</t>
  </si>
  <si>
    <t>Inntekter funksjon 202 budsjett 2023</t>
  </si>
  <si>
    <t>Variable kost funksjon 202 budsjett 2023</t>
  </si>
  <si>
    <t>lønnskost funksjon 202 budsjett 2023</t>
  </si>
  <si>
    <t>Nettokostnad pr. elev budsjettert i 2023</t>
  </si>
  <si>
    <t>*Sentrum</t>
  </si>
  <si>
    <t>Skole</t>
  </si>
  <si>
    <t>Leier</t>
  </si>
  <si>
    <t>1933/1972</t>
  </si>
  <si>
    <t>TGIU</t>
  </si>
  <si>
    <t>*Bodøsjøen-Alstad-Grønnåsen </t>
  </si>
  <si>
    <t>Eier</t>
  </si>
  <si>
    <t>Ny skole under planleggig</t>
  </si>
  <si>
    <t>2004/2010</t>
  </si>
  <si>
    <t>ikke mottatt</t>
  </si>
  <si>
    <t>1997/2001</t>
  </si>
  <si>
    <t>*Hunstad-Mørkved </t>
  </si>
  <si>
    <t>1981/1997</t>
  </si>
  <si>
    <t>1978/2001</t>
  </si>
  <si>
    <t>*Kjerringøy</t>
  </si>
  <si>
    <t>1961/1985</t>
  </si>
  <si>
    <t>*Nordsida </t>
  </si>
  <si>
    <t>1991/1997/1998/2007</t>
  </si>
  <si>
    <t>*Skjerstad og Misvær</t>
  </si>
  <si>
    <t>1964/1987/2006</t>
  </si>
  <si>
    <t>Ikke mottatt</t>
  </si>
  <si>
    <t>Mørkvedbukta</t>
  </si>
  <si>
    <t>1976/2021</t>
  </si>
  <si>
    <t>Ny skole høst 21</t>
  </si>
  <si>
    <t>1986/1993/1994/1995/1997</t>
  </si>
  <si>
    <t>ukjent</t>
  </si>
  <si>
    <t>-</t>
  </si>
  <si>
    <t>*Rønvik-Saltvern</t>
  </si>
  <si>
    <t>1976/2008</t>
  </si>
  <si>
    <t>*Tverlandet, Saltstraumen</t>
  </si>
  <si>
    <t>1954/1956/1960/1965/1989/2007/2015</t>
  </si>
  <si>
    <t>Skau oppvekstsenter </t>
  </si>
  <si>
    <t>1904/1963/1995</t>
  </si>
  <si>
    <t>*Væran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</si>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</sst>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-* #,##0_-;\-* #,##0_-;_-* &quot;-&quot;??_-;_-@_-"/>
    <numFmt numFmtId="167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Light"/>
      <family val="2"/>
      <scheme val="maj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165" fontId="4" fillId="0" borderId="1" xfId="1" applyNumberFormat="1" applyFont="1" applyBorder="1"/>
    <xf numFmtId="1" fontId="4" fillId="0" borderId="3" xfId="0" applyNumberFormat="1" applyFont="1" applyBorder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9" borderId="1" xfId="0" applyFont="1" applyFill="1" applyBorder="1" applyAlignment="1">
      <alignment vertical="center" wrapText="1"/>
    </xf>
    <xf numFmtId="49" fontId="7" fillId="0" borderId="4" xfId="0" applyNumberFormat="1" applyFont="1" applyBorder="1"/>
    <xf numFmtId="165" fontId="4" fillId="10" borderId="1" xfId="1" applyNumberFormat="1" applyFont="1" applyFill="1" applyBorder="1" applyAlignment="1">
      <alignment vertical="center" wrapText="1"/>
    </xf>
    <xf numFmtId="165" fontId="4" fillId="11" borderId="1" xfId="1" applyNumberFormat="1" applyFont="1" applyFill="1" applyBorder="1" applyAlignment="1">
      <alignment vertical="center" wrapText="1"/>
    </xf>
    <xf numFmtId="165" fontId="8" fillId="11" borderId="1" xfId="1" applyNumberFormat="1" applyFont="1" applyFill="1" applyBorder="1" applyAlignment="1">
      <alignment vertical="center" wrapText="1"/>
    </xf>
    <xf numFmtId="165" fontId="9" fillId="11" borderId="1" xfId="1" applyNumberFormat="1" applyFont="1" applyFill="1" applyBorder="1" applyAlignment="1">
      <alignment vertical="center" wrapText="1"/>
    </xf>
    <xf numFmtId="165" fontId="4" fillId="12" borderId="1" xfId="1" applyNumberFormat="1" applyFont="1" applyFill="1" applyBorder="1" applyAlignment="1">
      <alignment vertical="center" wrapText="1"/>
    </xf>
    <xf numFmtId="165" fontId="8" fillId="12" borderId="1" xfId="1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0" fontId="0" fillId="0" borderId="2" xfId="0" applyBorder="1"/>
    <xf numFmtId="2" fontId="4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165" fontId="4" fillId="0" borderId="0" xfId="1" applyNumberFormat="1" applyFont="1" applyBorder="1"/>
    <xf numFmtId="0" fontId="0" fillId="0" borderId="4" xfId="0" applyBorder="1"/>
    <xf numFmtId="0" fontId="4" fillId="5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7" borderId="1" xfId="0" applyNumberFormat="1" applyFont="1" applyFill="1" applyBorder="1" applyAlignment="1">
      <alignment vertical="center" wrapText="1"/>
    </xf>
    <xf numFmtId="1" fontId="0" fillId="0" borderId="1" xfId="0" applyNumberFormat="1" applyBorder="1"/>
    <xf numFmtId="166" fontId="4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165" fontId="4" fillId="10" borderId="5" xfId="1" applyNumberFormat="1" applyFont="1" applyFill="1" applyBorder="1" applyAlignment="1">
      <alignment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7" xfId="0" applyFont="1" applyBorder="1" applyAlignment="1">
      <alignment vertical="center" wrapText="1"/>
    </xf>
    <xf numFmtId="165" fontId="4" fillId="11" borderId="7" xfId="1" applyNumberFormat="1" applyFont="1" applyFill="1" applyBorder="1" applyAlignment="1">
      <alignment vertical="center" wrapText="1"/>
    </xf>
    <xf numFmtId="165" fontId="4" fillId="10" borderId="7" xfId="1" applyNumberFormat="1" applyFont="1" applyFill="1" applyBorder="1" applyAlignment="1">
      <alignment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/>
    <xf numFmtId="0" fontId="4" fillId="8" borderId="7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Normal 3" xfId="2" xr:uid="{D1DF9BB4-9603-48F8-829E-08FCB699E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milla Susann Jelstad" id="{E36849B4-7921-4A0F-AE3C-4F68FE26E25F}" userId="S::camilla.susann.jelstad@bodo.kommune.no::78286e0f-a398-4eb1-ae41-ec67e9cf6852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s Harald Sæverud" refreshedDate="45097.620688425923" createdVersion="8" refreshedVersion="8" minRefreshableVersion="3" recordCount="25" xr:uid="{8ADE055B-F967-450F-80B4-0AA86C855CA7}">
  <cacheSource type="worksheet">
    <worksheetSource ref="B3:AV27" sheet="Vedlegg 1. Grunnlagsdata skole "/>
  </cacheSource>
  <cacheFields count="43">
    <cacheField name="Bydel " numFmtId="0">
      <sharedItems count="9">
        <s v=" Tverlandet, Saltstraumen"/>
        <s v="Bodøsjøen-Alstad-Grønnåsen "/>
        <s v="Kjerringøy"/>
        <s v="Nordsida "/>
        <s v="Rønvik-Saltvern"/>
        <s v="Sentrum"/>
        <s v="Skjerstad og Misvær"/>
        <s v="Væran"/>
        <s v="Hunstad-Mørkved "/>
      </sharedItems>
    </cacheField>
    <cacheField name="2021/22" numFmtId="0">
      <sharedItems containsSemiMixedTypes="0" containsString="0" containsNumber="1" containsInteger="1" minValue="6" maxValue="732"/>
    </cacheField>
    <cacheField name="2022/23" numFmtId="165">
      <sharedItems containsSemiMixedTypes="0" containsString="0" containsNumber="1" containsInteger="1" minValue="4" maxValue="707"/>
    </cacheField>
    <cacheField name="2023/24" numFmtId="165">
      <sharedItems containsSemiMixedTypes="0" containsString="0" containsNumber="1" containsInteger="1" minValue="4" maxValue="691"/>
    </cacheField>
    <cacheField name="2024/25" numFmtId="165">
      <sharedItems containsSemiMixedTypes="0" containsString="0" containsNumber="1" containsInteger="1" minValue="3" maxValue="648"/>
    </cacheField>
    <cacheField name="2025/26" numFmtId="165">
      <sharedItems containsSemiMixedTypes="0" containsString="0" containsNumber="1" containsInteger="1" minValue="3" maxValue="605"/>
    </cacheField>
    <cacheField name="2026/27" numFmtId="165">
      <sharedItems containsSemiMixedTypes="0" containsString="0" containsNumber="1" containsInteger="1" minValue="2" maxValue="573"/>
    </cacheField>
    <cacheField name="2027/28" numFmtId="165">
      <sharedItems containsSemiMixedTypes="0" containsString="0" containsNumber="1" containsInteger="1" minValue="1" maxValue="555"/>
    </cacheField>
    <cacheField name="2028/29" numFmtId="165">
      <sharedItems containsSemiMixedTypes="0" containsString="0" containsNumber="1" containsInteger="1" minValue="1" maxValue="528"/>
    </cacheField>
    <cacheField name="2029/30" numFmtId="165">
      <sharedItems containsSemiMixedTypes="0" containsString="0" containsNumber="1" containsInteger="1" minValue="1" maxValue="528"/>
    </cacheField>
    <cacheField name="2030/31" numFmtId="165">
      <sharedItems containsSemiMixedTypes="0" containsString="0" containsNumber="1" containsInteger="1" minValue="0" maxValue="517"/>
    </cacheField>
    <cacheField name="Type" numFmtId="0">
      <sharedItems/>
    </cacheField>
    <cacheField name="Skole " numFmtId="0">
      <sharedItems count="25">
        <s v="Saltstraumen skole"/>
        <s v="Tverlandet skole"/>
        <s v="Bodøsjøen skole "/>
        <s v="Kjerringøy skole "/>
        <s v="Løpsmarka skole "/>
        <s v="Rønvik skole"/>
        <s v="Saltvern skole "/>
        <s v="St. Øystein *"/>
        <s v="Skjerstad oppvekstsenter"/>
        <s v="Misvær oppvekstsenter"/>
        <s v="Skolen i væran - Landegode"/>
        <s v="Skolen i væran - Helligvær "/>
        <s v="Alstad B "/>
        <s v="Grønnåsen skole "/>
        <s v="Støver/Mørkvedbukta"/>
        <s v="Mørkvedmarka"/>
        <s v="Hunstad B "/>
        <s v="Skaug oppvekstsenter "/>
        <s v="Aspåsen skole "/>
        <s v="Østbyen skole "/>
        <s v="Alberthaugen skole"/>
        <s v="Alstad U "/>
        <s v="Hunstad U "/>
        <s v="Bankgata skole "/>
        <s v="Norges toppidrettsgymnas (NTG) **"/>
      </sharedItems>
    </cacheField>
    <cacheField name="Skoletype " numFmtId="0">
      <sharedItems count="4">
        <s v="1-10'"/>
        <s v="1-7`"/>
        <s v="6-10`"/>
        <s v="8-10`"/>
      </sharedItems>
    </cacheField>
    <cacheField name="Paraleller" numFmtId="0">
      <sharedItems containsSemiMixedTypes="0" containsString="0" containsNumber="1" containsInteger="1" minValue="1" maxValue="5"/>
    </cacheField>
    <cacheField name="Eierform" numFmtId="0">
      <sharedItems/>
    </cacheField>
    <cacheField name="Antall elever skoleåret 2021-22" numFmtId="0">
      <sharedItems containsSemiMixedTypes="0" containsString="0" containsNumber="1" containsInteger="1" minValue="6" maxValue="732"/>
    </cacheField>
    <cacheField name="Teoretisk max kapasitet" numFmtId="0">
      <sharedItems containsString="0" containsBlank="1" containsNumber="1" containsInteger="1" minValue="20" maxValue="800"/>
    </cacheField>
    <cacheField name="Beregnet max kapasitet (85% av teoretisk kapasitet), Fritt skolevalg" numFmtId="0">
      <sharedItems containsSemiMixedTypes="0" containsString="0" containsNumber="1" containsInteger="1" minValue="0" maxValue="680"/>
    </cacheField>
    <cacheField name="Ledig kapasitet (automatisk beregnet)" numFmtId="0">
      <sharedItems containsSemiMixedTypes="0" containsString="0" containsNumber="1" containsInteger="1" minValue="-52" maxValue="219"/>
    </cacheField>
    <cacheField name="Antall årsverk (budsjetttall Ståle)" numFmtId="1">
      <sharedItems containsString="0" containsBlank="1" containsNumber="1" minValue="1" maxValue="96.49"/>
    </cacheField>
    <cacheField name="Paralell pr kvm" numFmtId="166">
      <sharedItems containsSemiMixedTypes="0" containsString="0" containsNumber="1" minValue="0" maxValue="226.66666666666666"/>
    </cacheField>
    <cacheField name="Elev pr. årsverk" numFmtId="1">
      <sharedItems containsMixedTypes="1" containsNumber="1" minValue="1.8469656992084433" maxValue="8.8253195374315272"/>
    </cacheField>
    <cacheField name="Antall ansatte (Ståle)" numFmtId="0">
      <sharedItems containsString="0" containsBlank="1" containsNumber="1" containsInteger="1" minValue="1" maxValue="99"/>
    </cacheField>
    <cacheField name="Uteareal i mål (Tom Forsmo)" numFmtId="0">
      <sharedItems containsString="0" containsBlank="1" containsNumber="1" minValue="5.3" maxValue="29.5"/>
    </cacheField>
    <cacheField name="Uteareal - Kvm pr elev" numFmtId="0">
      <sharedItems containsMixedTypes="1" containsNumber="1" containsInteger="1" minValue="0" maxValue="183"/>
    </cacheField>
    <cacheField name="Byggeår" numFmtId="0">
      <sharedItems containsMixedTypes="1" containsNumber="1" containsInteger="1" minValue="1927" maxValue="2020"/>
    </cacheField>
    <cacheField name="Tilstandsgrad" numFmtId="0">
      <sharedItems containsMixedTypes="1" containsNumber="1" minValue="0.01" maxValue="1.33"/>
    </cacheField>
    <cacheField name="Universiell utformingsgrad" numFmtId="0">
      <sharedItems containsMixedTypes="1" containsNumber="1" minValue="0.28999999999999998" maxValue="2.62"/>
    </cacheField>
    <cacheField name="Vedlikeholdsår" numFmtId="0">
      <sharedItems containsMixedTypes="1" containsNumber="1" containsInteger="1" minValue="2022" maxValue="2029"/>
    </cacheField>
    <cacheField name="Areal m2" numFmtId="0">
      <sharedItems containsBlank="1" containsMixedTypes="1" containsNumber="1" containsInteger="1" minValue="456" maxValue="12619"/>
    </cacheField>
    <cacheField name="Effekt" numFmtId="0">
      <sharedItems containsString="0" containsBlank="1" containsNumber="1" minValue="1" maxValue="4"/>
    </cacheField>
    <cacheField name="Spesialrom" numFmtId="0">
      <sharedItems containsString="0" containsBlank="1" containsNumber="1" minValue="1" maxValue="4"/>
    </cacheField>
    <cacheField name="Plassering og tilgjengelighet" numFmtId="0">
      <sharedItems containsString="0" containsBlank="1" containsNumber="1" minValue="1" maxValue="4"/>
    </cacheField>
    <cacheField name="Brukerfornøydhet" numFmtId="0">
      <sharedItems containsBlank="1" containsMixedTypes="1" containsNumber="1" minValue="1" maxValue="4"/>
    </cacheField>
    <cacheField name="Politisk saksbehandler" numFmtId="0">
      <sharedItems containsString="0" containsBlank="1" containsNumber="1" containsInteger="1" minValue="2022" maxValue="2022"/>
    </cacheField>
    <cacheField name="FDV, forsyning og renholds kost pr. kvm. for denne byggtypen fra Norsk prisbok" numFmtId="0">
      <sharedItems containsMixedTypes="1" containsNumber="1" containsInteger="1" minValue="200" maxValue="719"/>
    </cacheField>
    <cacheField name="Leiekostnader" numFmtId="0">
      <sharedItems containsString="0" containsBlank="1" containsNumber="1" containsInteger="1" minValue="559000" maxValue="559000"/>
    </cacheField>
    <cacheField name="KVM år kost x areal i mill kr." numFmtId="0">
      <sharedItems containsString="0" containsBlank="1" containsNumber="1" minValue="0.32786399999999999" maxValue="9.0730609999999992"/>
    </cacheField>
    <cacheField name="Faste kost. Administrasjonskost pr elev eller ansatt.." numFmtId="0">
      <sharedItems containsNonDate="0" containsString="0" containsBlank="1"/>
    </cacheField>
    <cacheField name="Variable kost" numFmtId="0">
      <sharedItems containsString="0" containsBlank="1" containsNumber="1" containsInteger="1" minValue="472678" maxValue="2806431"/>
    </cacheField>
    <cacheField name="lønnskost" numFmtId="0">
      <sharedItems containsString="0" containsBlank="1" containsNumber="1" containsInteger="1" minValue="6754524" maxValue="65109428"/>
    </cacheField>
    <cacheField name="Kostnad pr. elev" numFmtId="165">
      <sharedItems containsSemiMixedTypes="0" containsString="0" containsNumber="1" minValue="0" maxValue="5238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n v="120"/>
    <n v="114"/>
    <n v="109"/>
    <n v="106"/>
    <n v="97"/>
    <n v="97"/>
    <n v="96"/>
    <n v="96"/>
    <n v="96"/>
    <n v="95"/>
    <s v="Skole"/>
    <x v="0"/>
    <x v="0"/>
    <n v="1"/>
    <s v="Eier"/>
    <n v="120"/>
    <n v="250"/>
    <n v="213"/>
    <n v="93"/>
    <n v="21.69"/>
    <n v="213"/>
    <n v="5.532503457814661"/>
    <n v="19"/>
    <n v="11.5"/>
    <n v="46"/>
    <n v="1988"/>
    <n v="1.2"/>
    <n v="2"/>
    <n v="2022"/>
    <n v="2859"/>
    <n v="3"/>
    <n v="2"/>
    <n v="3"/>
    <n v="3"/>
    <m/>
    <n v="719"/>
    <m/>
    <n v="2.0556209999999999"/>
    <m/>
    <n v="761354"/>
    <n v="14746154"/>
    <n v="146359.40833333333"/>
  </r>
  <r>
    <x v="0"/>
    <n v="582"/>
    <n v="589"/>
    <n v="591"/>
    <n v="580"/>
    <n v="579"/>
    <n v="564"/>
    <n v="543"/>
    <n v="528"/>
    <n v="528"/>
    <n v="517"/>
    <s v="Skole"/>
    <x v="1"/>
    <x v="0"/>
    <n v="3"/>
    <s v="Eier"/>
    <n v="582"/>
    <n v="750"/>
    <n v="638"/>
    <n v="56"/>
    <n v="71.52"/>
    <n v="212.66666666666666"/>
    <n v="8.1375838926174495"/>
    <n v="74"/>
    <n v="21"/>
    <n v="28"/>
    <n v="2019"/>
    <n v="0.01"/>
    <n v="0.28999999999999998"/>
    <n v="2028"/>
    <n v="10210"/>
    <n v="4"/>
    <n v="4"/>
    <n v="3"/>
    <n v="4"/>
    <m/>
    <n v="654"/>
    <m/>
    <n v="6.6773400000000001"/>
    <m/>
    <n v="2583831"/>
    <n v="48039168"/>
    <n v="98454.190721649487"/>
  </r>
  <r>
    <x v="1"/>
    <n v="333"/>
    <n v="331"/>
    <n v="337"/>
    <n v="329"/>
    <n v="321"/>
    <n v="321"/>
    <n v="320"/>
    <n v="327"/>
    <n v="344"/>
    <n v="358"/>
    <s v="Skole"/>
    <x v="2"/>
    <x v="0"/>
    <n v="2"/>
    <s v="Eier"/>
    <n v="333"/>
    <n v="420"/>
    <n v="357"/>
    <n v="24"/>
    <n v="41.4"/>
    <n v="178.5"/>
    <n v="8.0434782608695663"/>
    <n v="42"/>
    <n v="12.4"/>
    <n v="30"/>
    <s v="2004/2010"/>
    <n v="1.1499999999999999"/>
    <n v="1.71"/>
    <n v="2028"/>
    <n v="4294"/>
    <m/>
    <m/>
    <m/>
    <s v="ikke mottatt"/>
    <m/>
    <n v="654"/>
    <m/>
    <n v="2.8082760000000002"/>
    <m/>
    <n v="1277003"/>
    <n v="29647451"/>
    <n v="101299.48948948948"/>
  </r>
  <r>
    <x v="2"/>
    <n v="39"/>
    <n v="35"/>
    <n v="28"/>
    <n v="26"/>
    <n v="26"/>
    <n v="25"/>
    <n v="22"/>
    <n v="23"/>
    <n v="23"/>
    <n v="23"/>
    <s v="Skole"/>
    <x v="3"/>
    <x v="0"/>
    <n v="1"/>
    <s v="Eier"/>
    <n v="39"/>
    <n v="70"/>
    <n v="60"/>
    <n v="21"/>
    <n v="15.62"/>
    <n v="60"/>
    <n v="2.4967989756722151"/>
    <n v="13"/>
    <n v="8.1999999999999993"/>
    <n v="117"/>
    <s v="1961/1985"/>
    <n v="0.95"/>
    <n v="2"/>
    <n v="2028"/>
    <n v="1631"/>
    <n v="3"/>
    <n v="1"/>
    <n v="3"/>
    <n v="2"/>
    <m/>
    <n v="719"/>
    <m/>
    <n v="1.1726890000000001"/>
    <m/>
    <n v="496453"/>
    <n v="9613896"/>
    <n v="289308.66666666669"/>
  </r>
  <r>
    <x v="3"/>
    <n v="338"/>
    <n v="335"/>
    <n v="316"/>
    <n v="301"/>
    <n v="304"/>
    <n v="305"/>
    <n v="316"/>
    <n v="317"/>
    <n v="322"/>
    <n v="324"/>
    <s v="Skole"/>
    <x v="4"/>
    <x v="0"/>
    <n v="2"/>
    <s v="Eier"/>
    <n v="338"/>
    <n v="500"/>
    <n v="425"/>
    <n v="87"/>
    <n v="41.32"/>
    <n v="212.5"/>
    <n v="8.1800580832526624"/>
    <n v="44"/>
    <n v="14.3"/>
    <n v="29"/>
    <s v="1991/1997/1998/2007"/>
    <n v="1.33"/>
    <n v="1.86"/>
    <n v="2024"/>
    <n v="6743"/>
    <n v="2"/>
    <n v="3"/>
    <n v="2"/>
    <n v="3.5"/>
    <m/>
    <n v="719"/>
    <m/>
    <n v="4.848217"/>
    <m/>
    <n v="1418723"/>
    <n v="27585585"/>
    <n v="100155.39940828402"/>
  </r>
  <r>
    <x v="4"/>
    <n v="434"/>
    <n v="436"/>
    <n v="423"/>
    <n v="407"/>
    <n v="395"/>
    <n v="388"/>
    <n v="370"/>
    <n v="360"/>
    <n v="358"/>
    <n v="354"/>
    <s v="Skole"/>
    <x v="5"/>
    <x v="0"/>
    <n v="2"/>
    <s v="Eier"/>
    <n v="434"/>
    <n v="490"/>
    <n v="417"/>
    <n v="-17"/>
    <n v="52.82"/>
    <n v="208.5"/>
    <n v="8.2165846270352141"/>
    <n v="57"/>
    <n v="17.600000000000001"/>
    <n v="36"/>
    <s v="1976/2008"/>
    <n v="1.1599999999999999"/>
    <n v="1.5"/>
    <n v="2023"/>
    <n v="6479"/>
    <n v="2"/>
    <n v="2"/>
    <n v="4"/>
    <n v="3"/>
    <m/>
    <n v="719"/>
    <m/>
    <n v="4.6584009999999996"/>
    <m/>
    <n v="1631891"/>
    <n v="36554384"/>
    <n v="98720.451612903227"/>
  </r>
  <r>
    <x v="4"/>
    <n v="732"/>
    <n v="707"/>
    <n v="691"/>
    <n v="648"/>
    <n v="605"/>
    <n v="573"/>
    <n v="555"/>
    <n v="521"/>
    <n v="507"/>
    <n v="482"/>
    <s v="Skole"/>
    <x v="6"/>
    <x v="0"/>
    <n v="3"/>
    <s v="Eier"/>
    <n v="732"/>
    <n v="800"/>
    <n v="680"/>
    <n v="-52"/>
    <n v="96.49"/>
    <n v="226.66666666666666"/>
    <n v="7.5862783708156289"/>
    <n v="99"/>
    <n v="29.5"/>
    <n v="37"/>
    <s v="1954/1956/1960/1965/1989/2007/2015"/>
    <n v="1.1299999999999999"/>
    <n v="1.54"/>
    <s v="2022-2025"/>
    <n v="12619"/>
    <n v="2.5"/>
    <n v="2.5"/>
    <n v="2.5"/>
    <n v="2.5"/>
    <m/>
    <n v="719"/>
    <m/>
    <n v="9.0730609999999992"/>
    <m/>
    <n v="2806431"/>
    <n v="65109428"/>
    <n v="105176.12021857924"/>
  </r>
  <r>
    <x v="5"/>
    <n v="77"/>
    <n v="78"/>
    <n v="70"/>
    <n v="62"/>
    <n v="61"/>
    <n v="60"/>
    <n v="61"/>
    <n v="60"/>
    <n v="63"/>
    <n v="67"/>
    <s v="Skole"/>
    <x v="7"/>
    <x v="0"/>
    <n v="1"/>
    <s v="Eier"/>
    <n v="77"/>
    <n v="77"/>
    <n v="65"/>
    <n v="-12"/>
    <m/>
    <n v="65"/>
    <e v="#DIV/0!"/>
    <m/>
    <m/>
    <n v="0"/>
    <s v="ukjent"/>
    <s v="TGIU"/>
    <s v="TGIU"/>
    <s v="-"/>
    <m/>
    <m/>
    <m/>
    <m/>
    <m/>
    <m/>
    <s v="-"/>
    <m/>
    <m/>
    <m/>
    <m/>
    <m/>
    <n v="0"/>
  </r>
  <r>
    <x v="6"/>
    <n v="29"/>
    <n v="27"/>
    <n v="27"/>
    <n v="29"/>
    <n v="26"/>
    <n v="33"/>
    <n v="38"/>
    <n v="42"/>
    <n v="42"/>
    <n v="43"/>
    <s v="Skole"/>
    <x v="8"/>
    <x v="0"/>
    <n v="1"/>
    <s v="Eier"/>
    <n v="29"/>
    <n v="100"/>
    <n v="85"/>
    <n v="56"/>
    <n v="12.79"/>
    <n v="85"/>
    <n v="2.2673964034401877"/>
    <n v="13"/>
    <n v="14"/>
    <n v="140"/>
    <s v="1904/1963/1995"/>
    <n v="1.1000000000000001"/>
    <n v="2.62"/>
    <n v="2025"/>
    <n v="1200"/>
    <n v="4"/>
    <n v="3.5"/>
    <n v="3"/>
    <n v="4"/>
    <m/>
    <n v="638"/>
    <m/>
    <n v="0.76559999999999995"/>
    <m/>
    <n v="1193050"/>
    <n v="8285427"/>
    <n v="353244.03448275861"/>
  </r>
  <r>
    <x v="6"/>
    <n v="44"/>
    <n v="44"/>
    <n v="42"/>
    <n v="39"/>
    <n v="35"/>
    <n v="30"/>
    <n v="29"/>
    <n v="30"/>
    <n v="29"/>
    <n v="27"/>
    <s v="Skole"/>
    <x v="9"/>
    <x v="0"/>
    <n v="1"/>
    <s v="Eier"/>
    <n v="44"/>
    <n v="80"/>
    <n v="68"/>
    <n v="24"/>
    <n v="12.54"/>
    <n v="68"/>
    <n v="3.5087719298245617"/>
    <n v="16"/>
    <n v="14.6"/>
    <n v="183"/>
    <s v="1964/1987/2006"/>
    <s v="TGIU"/>
    <s v="TGIU"/>
    <n v="2026"/>
    <n v="4814"/>
    <m/>
    <m/>
    <m/>
    <s v="ikke mottatt"/>
    <m/>
    <n v="719"/>
    <m/>
    <n v="3.4612660000000002"/>
    <m/>
    <n v="594725"/>
    <n v="9769240"/>
    <n v="314209.79545454547"/>
  </r>
  <r>
    <x v="7"/>
    <n v="6"/>
    <n v="4"/>
    <n v="4"/>
    <n v="3"/>
    <n v="3"/>
    <n v="2"/>
    <n v="1"/>
    <n v="1"/>
    <n v="1"/>
    <n v="0"/>
    <s v="Skole"/>
    <x v="10"/>
    <x v="0"/>
    <n v="1"/>
    <s v="Eier"/>
    <n v="6"/>
    <m/>
    <n v="0"/>
    <n v="-6"/>
    <n v="1"/>
    <n v="0"/>
    <n v="6"/>
    <n v="1"/>
    <m/>
    <e v="#DIV/0!"/>
    <n v="1972"/>
    <n v="1.03"/>
    <n v="2.21"/>
    <n v="2025"/>
    <n v="456"/>
    <n v="4"/>
    <n v="3"/>
    <n v="4"/>
    <n v="4"/>
    <m/>
    <n v="719"/>
    <m/>
    <n v="0.32786399999999999"/>
    <m/>
    <m/>
    <m/>
    <n v="54644"/>
  </r>
  <r>
    <x v="7"/>
    <n v="15"/>
    <n v="15"/>
    <n v="14"/>
    <n v="12"/>
    <n v="11"/>
    <n v="12"/>
    <n v="12"/>
    <n v="12"/>
    <n v="11"/>
    <n v="10"/>
    <s v="Skole"/>
    <x v="11"/>
    <x v="0"/>
    <n v="1"/>
    <s v="Eier"/>
    <n v="15"/>
    <m/>
    <n v="0"/>
    <n v="-15"/>
    <n v="7.83"/>
    <n v="0"/>
    <n v="1.9157088122605364"/>
    <n v="10"/>
    <m/>
    <e v="#DIV/0!"/>
    <n v="1960"/>
    <n v="1.1000000000000001"/>
    <n v="2.0699999999999998"/>
    <n v="2028"/>
    <n v="877"/>
    <n v="3"/>
    <n v="3"/>
    <n v="4"/>
    <n v="3.5"/>
    <m/>
    <n v="719"/>
    <m/>
    <n v="0.63056299999999998"/>
    <m/>
    <n v="472678"/>
    <n v="6754524"/>
    <n v="523851"/>
  </r>
  <r>
    <x v="1"/>
    <n v="318"/>
    <n v="307"/>
    <n v="281"/>
    <n v="265"/>
    <n v="240"/>
    <n v="236"/>
    <n v="228"/>
    <n v="220"/>
    <n v="216"/>
    <n v="224"/>
    <s v="Skole"/>
    <x v="12"/>
    <x v="1"/>
    <n v="2"/>
    <s v="Eier"/>
    <n v="318"/>
    <n v="425"/>
    <n v="361"/>
    <n v="43"/>
    <n v="39.71"/>
    <n v="180.5"/>
    <n v="8.0080584235708887"/>
    <n v="41"/>
    <n v="7.4"/>
    <n v="17"/>
    <n v="1970"/>
    <n v="1.21"/>
    <n v="2.29"/>
    <n v="2023"/>
    <n v="3067"/>
    <m/>
    <m/>
    <m/>
    <s v="Ny skole under planleggig"/>
    <n v="2022"/>
    <n v="669"/>
    <m/>
    <n v="2.0518230000000002"/>
    <m/>
    <n v="1263916"/>
    <n v="28208561"/>
    <n v="99133.018867924533"/>
  </r>
  <r>
    <x v="1"/>
    <n v="386"/>
    <n v="396"/>
    <n v="402"/>
    <n v="411"/>
    <n v="401"/>
    <n v="388"/>
    <n v="379"/>
    <n v="372"/>
    <n v="358"/>
    <n v="362"/>
    <s v="Skole"/>
    <x v="13"/>
    <x v="1"/>
    <n v="3"/>
    <s v="Eier"/>
    <n v="386"/>
    <n v="475"/>
    <n v="404"/>
    <n v="18"/>
    <n v="48.17"/>
    <n v="134.66666666666666"/>
    <n v="8.0132862777662446"/>
    <n v="49"/>
    <n v="16.25"/>
    <n v="34"/>
    <s v="1997/2001"/>
    <n v="1.06"/>
    <n v="1.1399999999999999"/>
    <n v="2023"/>
    <n v="4536"/>
    <n v="4"/>
    <n v="4"/>
    <n v="3"/>
    <n v="4"/>
    <m/>
    <n v="638"/>
    <m/>
    <n v="2.8939680000000001"/>
    <m/>
    <n v="1588863"/>
    <n v="32185595"/>
    <n v="94995.92227979275"/>
  </r>
  <r>
    <x v="8"/>
    <n v="217"/>
    <n v="213"/>
    <n v="224"/>
    <n v="223"/>
    <n v="215"/>
    <n v="214"/>
    <n v="221"/>
    <n v="226"/>
    <n v="240"/>
    <n v="244"/>
    <s v="Skole"/>
    <x v="14"/>
    <x v="1"/>
    <n v="2"/>
    <s v="Eier"/>
    <n v="217"/>
    <n v="400"/>
    <n v="340"/>
    <n v="123"/>
    <n v="28.92"/>
    <n v="170"/>
    <n v="7.5034578146611342"/>
    <n v="30"/>
    <n v="12"/>
    <n v="30"/>
    <s v="1976/2021"/>
    <s v="TGIU"/>
    <s v="TGIU"/>
    <n v="2029"/>
    <n v="2758"/>
    <m/>
    <m/>
    <m/>
    <s v="Ny skole høst 21"/>
    <m/>
    <n v="639"/>
    <m/>
    <n v="1.762362"/>
    <m/>
    <n v="1567544"/>
    <n v="20227865"/>
    <n v="108561.15668202765"/>
  </r>
  <r>
    <x v="8"/>
    <n v="442"/>
    <n v="438"/>
    <n v="444"/>
    <n v="448"/>
    <n v="437"/>
    <n v="422"/>
    <n v="413"/>
    <n v="414"/>
    <n v="400"/>
    <n v="388"/>
    <s v="Skole"/>
    <x v="15"/>
    <x v="1"/>
    <n v="3"/>
    <s v="Eier"/>
    <n v="442"/>
    <n v="575"/>
    <n v="489"/>
    <n v="47"/>
    <n v="59.31"/>
    <n v="163"/>
    <n v="7.4523689091215646"/>
    <n v="57"/>
    <n v="21"/>
    <n v="37"/>
    <s v="1986/1993/1994/1995/1997"/>
    <n v="1.29"/>
    <n v="2.57"/>
    <n v="2022"/>
    <n v="6796"/>
    <n v="3"/>
    <n v="3"/>
    <n v="2"/>
    <n v="3"/>
    <m/>
    <n v="638"/>
    <m/>
    <n v="4.3358480000000004"/>
    <m/>
    <n v="2205993"/>
    <n v="40330669"/>
    <n v="106046.40271493213"/>
  </r>
  <r>
    <x v="8"/>
    <n v="306"/>
    <n v="281"/>
    <n v="272"/>
    <n v="253"/>
    <n v="246"/>
    <n v="231"/>
    <n v="218"/>
    <n v="203"/>
    <n v="189"/>
    <n v="178"/>
    <s v="Skole"/>
    <x v="16"/>
    <x v="1"/>
    <n v="2"/>
    <s v="Eier"/>
    <n v="306"/>
    <n v="350"/>
    <n v="298"/>
    <n v="-8"/>
    <n v="35.880000000000003"/>
    <n v="149"/>
    <n v="8.5284280936454842"/>
    <n v="39"/>
    <n v="8"/>
    <n v="23"/>
    <s v="1981/1997"/>
    <n v="1.1399999999999999"/>
    <n v="1.86"/>
    <n v="2024"/>
    <n v="4250"/>
    <n v="3"/>
    <n v="3"/>
    <n v="3"/>
    <n v="3"/>
    <m/>
    <n v="719"/>
    <m/>
    <n v="3.0557500000000002"/>
    <m/>
    <n v="1259586"/>
    <n v="25026176"/>
    <n v="95887.294117647063"/>
  </r>
  <r>
    <x v="3"/>
    <n v="100"/>
    <n v="103"/>
    <n v="96"/>
    <n v="93"/>
    <n v="85"/>
    <n v="80"/>
    <n v="74"/>
    <n v="71"/>
    <n v="67"/>
    <n v="67"/>
    <s v="Skole"/>
    <x v="17"/>
    <x v="1"/>
    <n v="1"/>
    <s v="Eier"/>
    <n v="100"/>
    <n v="165"/>
    <n v="140"/>
    <n v="40"/>
    <n v="21.03"/>
    <n v="140"/>
    <n v="4.7551117451260101"/>
    <n v="20"/>
    <n v="10"/>
    <n v="61"/>
    <n v="1927"/>
    <n v="1.04"/>
    <n v="1.71"/>
    <n v="2025"/>
    <n v="1886"/>
    <n v="4"/>
    <n v="3"/>
    <n v="3"/>
    <n v="3"/>
    <m/>
    <n v="638"/>
    <m/>
    <n v="1.203268"/>
    <m/>
    <n v="569752"/>
    <n v="12988566"/>
    <n v="147615.85999999999"/>
  </r>
  <r>
    <x v="5"/>
    <n v="347"/>
    <n v="331"/>
    <n v="353"/>
    <n v="358"/>
    <n v="361"/>
    <n v="360"/>
    <n v="372"/>
    <n v="378"/>
    <n v="379"/>
    <n v="372"/>
    <s v="Skole"/>
    <x v="18"/>
    <x v="1"/>
    <n v="3"/>
    <s v="Eier"/>
    <n v="347"/>
    <n v="525"/>
    <n v="446"/>
    <n v="99"/>
    <n v="41.03"/>
    <n v="148.66666666666666"/>
    <n v="8.4572264196929066"/>
    <n v="43"/>
    <n v="8.3000000000000007"/>
    <n v="16"/>
    <n v="2020"/>
    <n v="0.01"/>
    <n v="0.71"/>
    <n v="2029"/>
    <n v="11450"/>
    <n v="4"/>
    <n v="4"/>
    <n v="4"/>
    <n v="4"/>
    <m/>
    <n v="639"/>
    <m/>
    <n v="7.3165500000000003"/>
    <m/>
    <n v="1283536"/>
    <n v="29266162"/>
    <n v="109124.63400576368"/>
  </r>
  <r>
    <x v="5"/>
    <n v="273"/>
    <n v="265"/>
    <n v="262"/>
    <n v="269"/>
    <n v="283"/>
    <n v="286"/>
    <n v="292"/>
    <n v="301"/>
    <n v="302"/>
    <n v="316"/>
    <s v="Skole"/>
    <x v="19"/>
    <x v="1"/>
    <n v="2"/>
    <s v="Eier"/>
    <n v="273"/>
    <n v="350"/>
    <n v="298"/>
    <n v="25"/>
    <n v="41.89"/>
    <n v="149"/>
    <n v="6.5170685127715444"/>
    <n v="39"/>
    <n v="18.399999999999999"/>
    <n v="53"/>
    <n v="1968"/>
    <n v="1.08"/>
    <n v="1.5"/>
    <n v="2023"/>
    <n v="3330"/>
    <n v="1"/>
    <n v="1"/>
    <n v="1"/>
    <n v="1"/>
    <m/>
    <n v="669"/>
    <m/>
    <n v="2.22777"/>
    <m/>
    <n v="1730774"/>
    <n v="27652281"/>
    <n v="115790.56776556777"/>
  </r>
  <r>
    <x v="5"/>
    <n v="21"/>
    <n v="21"/>
    <n v="21"/>
    <n v="21"/>
    <n v="21"/>
    <n v="21"/>
    <n v="21"/>
    <n v="21"/>
    <n v="21"/>
    <n v="21"/>
    <s v="Skole"/>
    <x v="20"/>
    <x v="2"/>
    <n v="1"/>
    <s v="Leier"/>
    <n v="21"/>
    <n v="20"/>
    <n v="17"/>
    <n v="-4"/>
    <n v="11.37"/>
    <n v="17"/>
    <n v="1.8469656992084433"/>
    <n v="11"/>
    <m/>
    <n v="0"/>
    <s v="1933/1972"/>
    <s v="TGIU"/>
    <s v="TGIU"/>
    <n v="2023"/>
    <n v="785"/>
    <n v="4"/>
    <n v="4"/>
    <n v="4"/>
    <n v="4"/>
    <m/>
    <n v="200"/>
    <n v="559000"/>
    <m/>
    <m/>
    <n v="1659977"/>
    <n v="8035398"/>
    <n v="461684.52380952379"/>
  </r>
  <r>
    <x v="1"/>
    <n v="290"/>
    <n v="295"/>
    <n v="277"/>
    <n v="274"/>
    <n v="279"/>
    <n v="287"/>
    <n v="290"/>
    <n v="283"/>
    <n v="285"/>
    <n v="256"/>
    <s v="Skole"/>
    <x v="21"/>
    <x v="3"/>
    <n v="4"/>
    <s v="Eier"/>
    <n v="290"/>
    <n v="361"/>
    <n v="307"/>
    <n v="17"/>
    <n v="32.86"/>
    <n v="76.75"/>
    <n v="8.8253195374315272"/>
    <n v="36"/>
    <n v="11.5"/>
    <n v="32"/>
    <n v="1969"/>
    <n v="0.97"/>
    <n v="2.29"/>
    <n v="2026"/>
    <n v="7030"/>
    <n v="3"/>
    <n v="3"/>
    <n v="3"/>
    <n v="3"/>
    <m/>
    <n v="719"/>
    <m/>
    <n v="5.05457"/>
    <m/>
    <n v="1018274"/>
    <n v="24962080"/>
    <n v="107016.97931034483"/>
  </r>
  <r>
    <x v="8"/>
    <n v="375"/>
    <n v="413"/>
    <n v="427"/>
    <n v="406"/>
    <n v="374"/>
    <n v="390"/>
    <n v="391"/>
    <n v="384"/>
    <n v="371"/>
    <n v="378"/>
    <s v="Skole"/>
    <x v="22"/>
    <x v="3"/>
    <n v="5"/>
    <s v="Eier"/>
    <n v="375"/>
    <n v="390"/>
    <n v="332"/>
    <n v="-43"/>
    <n v="43.47"/>
    <n v="66.400000000000006"/>
    <n v="8.6266390614216704"/>
    <n v="47"/>
    <n v="8"/>
    <n v="21"/>
    <s v="1978/2001"/>
    <n v="1"/>
    <n v="1.86"/>
    <n v="2027"/>
    <n v="10929"/>
    <n v="2"/>
    <n v="3"/>
    <n v="3"/>
    <n v="2.5"/>
    <m/>
    <n v="719"/>
    <m/>
    <n v="7.8579509999999999"/>
    <m/>
    <n v="1290046"/>
    <n v="31450957"/>
    <n v="108263.87733333334"/>
  </r>
  <r>
    <x v="5"/>
    <n v="249"/>
    <n v="275"/>
    <n v="247"/>
    <n v="245"/>
    <n v="208"/>
    <n v="226"/>
    <n v="226"/>
    <n v="227"/>
    <n v="233"/>
    <n v="244"/>
    <s v="Skole"/>
    <x v="23"/>
    <x v="3"/>
    <n v="4"/>
    <s v="Eier"/>
    <n v="249"/>
    <n v="550"/>
    <n v="468"/>
    <n v="219"/>
    <n v="47.62"/>
    <n v="117"/>
    <n v="5.2288954220915587"/>
    <n v="58"/>
    <n v="5.3"/>
    <n v="10"/>
    <n v="1948"/>
    <n v="1.05"/>
    <n v="1.86"/>
    <n v="2027"/>
    <n v="9606"/>
    <n v="3"/>
    <n v="3"/>
    <n v="3"/>
    <n v="3"/>
    <m/>
    <n v="719"/>
    <m/>
    <n v="6.906714"/>
    <m/>
    <n v="1030947"/>
    <n v="24646792"/>
    <n v="130861.25702811245"/>
  </r>
  <r>
    <x v="5"/>
    <n v="89"/>
    <n v="97"/>
    <n v="97"/>
    <n v="96"/>
    <n v="96"/>
    <n v="96"/>
    <n v="96"/>
    <n v="96"/>
    <n v="96"/>
    <n v="96"/>
    <s v="Skole"/>
    <x v="24"/>
    <x v="3"/>
    <n v="2"/>
    <s v="Leier"/>
    <n v="89"/>
    <n v="89"/>
    <n v="76"/>
    <n v="-13"/>
    <m/>
    <n v="38"/>
    <e v="#DIV/0!"/>
    <m/>
    <m/>
    <n v="0"/>
    <s v="ukjent"/>
    <s v="TGIU"/>
    <s v="TGIU"/>
    <s v="-"/>
    <s v="-"/>
    <m/>
    <m/>
    <m/>
    <m/>
    <m/>
    <s v="-"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793523-1A9D-4FD3-BE69-5B6DEBD630DA}" name="Pivottabell4" cacheId="3563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3:E54" firstHeaderRow="0" firstDataRow="1" firstDataCol="1"/>
  <pivotFields count="43">
    <pivotField axis="axisRow" showAll="0">
      <items count="10">
        <item x="0"/>
        <item x="1"/>
        <item x="8"/>
        <item x="2"/>
        <item x="3"/>
        <item x="4"/>
        <item x="5"/>
        <item x="6"/>
        <item x="7"/>
        <item t="default"/>
      </items>
    </pivotField>
    <pivotField dataField="1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showAll="0"/>
    <pivotField axis="axisRow" dataField="1" showAll="0">
      <items count="26">
        <item x="20"/>
        <item x="12"/>
        <item x="21"/>
        <item x="18"/>
        <item x="23"/>
        <item x="2"/>
        <item x="13"/>
        <item x="16"/>
        <item x="22"/>
        <item x="3"/>
        <item x="4"/>
        <item x="9"/>
        <item x="15"/>
        <item x="24"/>
        <item x="5"/>
        <item x="0"/>
        <item x="6"/>
        <item x="17"/>
        <item x="8"/>
        <item x="11"/>
        <item x="10"/>
        <item x="7"/>
        <item x="14"/>
        <item x="1"/>
        <item x="19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3"/>
    <field x="12"/>
  </rowFields>
  <rowItems count="51">
    <i>
      <x/>
    </i>
    <i r="1">
      <x/>
    </i>
    <i r="2">
      <x v="15"/>
    </i>
    <i r="2">
      <x v="23"/>
    </i>
    <i>
      <x v="1"/>
    </i>
    <i r="1">
      <x/>
    </i>
    <i r="2">
      <x v="5"/>
    </i>
    <i r="1">
      <x v="1"/>
    </i>
    <i r="2">
      <x v="1"/>
    </i>
    <i r="2">
      <x v="6"/>
    </i>
    <i r="1">
      <x v="3"/>
    </i>
    <i r="2">
      <x v="2"/>
    </i>
    <i>
      <x v="2"/>
    </i>
    <i r="1">
      <x v="1"/>
    </i>
    <i r="2">
      <x v="7"/>
    </i>
    <i r="2">
      <x v="12"/>
    </i>
    <i r="2">
      <x v="22"/>
    </i>
    <i r="1">
      <x v="3"/>
    </i>
    <i r="2">
      <x v="8"/>
    </i>
    <i>
      <x v="3"/>
    </i>
    <i r="1">
      <x/>
    </i>
    <i r="2">
      <x v="9"/>
    </i>
    <i>
      <x v="4"/>
    </i>
    <i r="1">
      <x/>
    </i>
    <i r="2">
      <x v="10"/>
    </i>
    <i r="1">
      <x v="1"/>
    </i>
    <i r="2">
      <x v="17"/>
    </i>
    <i>
      <x v="5"/>
    </i>
    <i r="1">
      <x/>
    </i>
    <i r="2">
      <x v="14"/>
    </i>
    <i r="2">
      <x v="16"/>
    </i>
    <i>
      <x v="6"/>
    </i>
    <i r="1">
      <x/>
    </i>
    <i r="2">
      <x v="21"/>
    </i>
    <i r="1">
      <x v="1"/>
    </i>
    <i r="2">
      <x v="3"/>
    </i>
    <i r="2">
      <x v="24"/>
    </i>
    <i r="1">
      <x v="2"/>
    </i>
    <i r="2">
      <x/>
    </i>
    <i r="1">
      <x v="3"/>
    </i>
    <i r="2">
      <x v="4"/>
    </i>
    <i r="2">
      <x v="13"/>
    </i>
    <i>
      <x v="7"/>
    </i>
    <i r="1">
      <x/>
    </i>
    <i r="2">
      <x v="11"/>
    </i>
    <i r="2">
      <x v="18"/>
    </i>
    <i>
      <x v="8"/>
    </i>
    <i r="1">
      <x/>
    </i>
    <i r="2">
      <x v="19"/>
    </i>
    <i r="2">
      <x v="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ntall av Skole " fld="12" subtotal="count" baseField="0" baseItem="0"/>
    <dataField name="Summer av 2021/22" fld="1" baseField="0" baseItem="0"/>
    <dataField name="Summer av 2022/23" fld="2" baseField="0" baseItem="0"/>
    <dataField name="Summer av 2023/24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16" dT="2021-06-22T10:34:34.59" personId="{E36849B4-7921-4A0F-AE3C-4F68FE26E25F}" id="{8F95F941-6A8D-43A8-A5FE-BEF6E4AC9F6B}">
    <text>Inkl. nordstrandahallen</text>
  </threadedComment>
  <threadedComment ref="AG18" dT="2021-06-22T10:37:19.91" personId="{E36849B4-7921-4A0F-AE3C-4F68FE26E25F}" id="{F1942C82-96A5-466A-9765-D64C5ED11758}">
    <text>Støver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0412-0E59-4ACB-8108-B801E98548CE}">
  <dimension ref="A3:E54"/>
  <sheetViews>
    <sheetView workbookViewId="0">
      <selection activeCell="B22" sqref="B22"/>
    </sheetView>
  </sheetViews>
  <sheetFormatPr defaultColWidth="11.42578125" defaultRowHeight="15"/>
  <cols>
    <col min="1" max="1" width="38.5703125" bestFit="1" customWidth="1"/>
    <col min="2" max="2" width="14.42578125" bestFit="1" customWidth="1"/>
    <col min="3" max="5" width="18.28515625" bestFit="1" customWidth="1"/>
  </cols>
  <sheetData>
    <row r="3" spans="1:5">
      <c r="A3" s="22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s="23" t="s">
        <v>5</v>
      </c>
      <c r="B4">
        <v>2</v>
      </c>
      <c r="C4">
        <v>702</v>
      </c>
      <c r="D4">
        <v>703</v>
      </c>
      <c r="E4">
        <v>700</v>
      </c>
    </row>
    <row r="5" spans="1:5">
      <c r="A5" s="24" t="s">
        <v>6</v>
      </c>
      <c r="B5">
        <v>2</v>
      </c>
      <c r="C5">
        <v>702</v>
      </c>
      <c r="D5">
        <v>703</v>
      </c>
      <c r="E5">
        <v>700</v>
      </c>
    </row>
    <row r="6" spans="1:5">
      <c r="A6" s="25" t="s">
        <v>7</v>
      </c>
      <c r="B6">
        <v>1</v>
      </c>
      <c r="C6">
        <v>120</v>
      </c>
      <c r="D6">
        <v>114</v>
      </c>
      <c r="E6">
        <v>109</v>
      </c>
    </row>
    <row r="7" spans="1:5">
      <c r="A7" s="25" t="s">
        <v>8</v>
      </c>
      <c r="B7">
        <v>1</v>
      </c>
      <c r="C7">
        <v>582</v>
      </c>
      <c r="D7">
        <v>589</v>
      </c>
      <c r="E7">
        <v>591</v>
      </c>
    </row>
    <row r="8" spans="1:5">
      <c r="A8" s="23" t="s">
        <v>9</v>
      </c>
      <c r="B8">
        <v>4</v>
      </c>
      <c r="C8">
        <v>1327</v>
      </c>
      <c r="D8">
        <v>1329</v>
      </c>
      <c r="E8">
        <v>1297</v>
      </c>
    </row>
    <row r="9" spans="1:5">
      <c r="A9" s="24" t="s">
        <v>6</v>
      </c>
      <c r="B9">
        <v>1</v>
      </c>
      <c r="C9">
        <v>333</v>
      </c>
      <c r="D9">
        <v>331</v>
      </c>
      <c r="E9">
        <v>337</v>
      </c>
    </row>
    <row r="10" spans="1:5">
      <c r="A10" s="25" t="s">
        <v>10</v>
      </c>
      <c r="B10">
        <v>1</v>
      </c>
      <c r="C10">
        <v>333</v>
      </c>
      <c r="D10">
        <v>331</v>
      </c>
      <c r="E10">
        <v>337</v>
      </c>
    </row>
    <row r="11" spans="1:5">
      <c r="A11" s="24" t="s">
        <v>11</v>
      </c>
      <c r="B11">
        <v>2</v>
      </c>
      <c r="C11">
        <v>704</v>
      </c>
      <c r="D11">
        <v>703</v>
      </c>
      <c r="E11">
        <v>683</v>
      </c>
    </row>
    <row r="12" spans="1:5">
      <c r="A12" s="25" t="s">
        <v>12</v>
      </c>
      <c r="B12">
        <v>1</v>
      </c>
      <c r="C12">
        <v>318</v>
      </c>
      <c r="D12">
        <v>307</v>
      </c>
      <c r="E12">
        <v>281</v>
      </c>
    </row>
    <row r="13" spans="1:5">
      <c r="A13" s="25" t="s">
        <v>13</v>
      </c>
      <c r="B13">
        <v>1</v>
      </c>
      <c r="C13">
        <v>386</v>
      </c>
      <c r="D13">
        <v>396</v>
      </c>
      <c r="E13">
        <v>402</v>
      </c>
    </row>
    <row r="14" spans="1:5">
      <c r="A14" s="24" t="s">
        <v>14</v>
      </c>
      <c r="B14">
        <v>1</v>
      </c>
      <c r="C14">
        <v>290</v>
      </c>
      <c r="D14">
        <v>295</v>
      </c>
      <c r="E14">
        <v>277</v>
      </c>
    </row>
    <row r="15" spans="1:5">
      <c r="A15" s="25" t="s">
        <v>15</v>
      </c>
      <c r="B15">
        <v>1</v>
      </c>
      <c r="C15">
        <v>290</v>
      </c>
      <c r="D15">
        <v>295</v>
      </c>
      <c r="E15">
        <v>277</v>
      </c>
    </row>
    <row r="16" spans="1:5">
      <c r="A16" s="23" t="s">
        <v>16</v>
      </c>
      <c r="B16">
        <v>4</v>
      </c>
      <c r="C16">
        <v>1340</v>
      </c>
      <c r="D16">
        <v>1345</v>
      </c>
      <c r="E16">
        <v>1367</v>
      </c>
    </row>
    <row r="17" spans="1:5">
      <c r="A17" s="24" t="s">
        <v>11</v>
      </c>
      <c r="B17">
        <v>3</v>
      </c>
      <c r="C17">
        <v>965</v>
      </c>
      <c r="D17">
        <v>932</v>
      </c>
      <c r="E17">
        <v>940</v>
      </c>
    </row>
    <row r="18" spans="1:5">
      <c r="A18" s="25" t="s">
        <v>17</v>
      </c>
      <c r="B18">
        <v>1</v>
      </c>
      <c r="C18">
        <v>306</v>
      </c>
      <c r="D18">
        <v>281</v>
      </c>
      <c r="E18">
        <v>272</v>
      </c>
    </row>
    <row r="19" spans="1:5">
      <c r="A19" s="25" t="s">
        <v>18</v>
      </c>
      <c r="B19">
        <v>1</v>
      </c>
      <c r="C19">
        <v>442</v>
      </c>
      <c r="D19">
        <v>438</v>
      </c>
      <c r="E19">
        <v>444</v>
      </c>
    </row>
    <row r="20" spans="1:5">
      <c r="A20" s="25" t="s">
        <v>19</v>
      </c>
      <c r="B20">
        <v>1</v>
      </c>
      <c r="C20">
        <v>217</v>
      </c>
      <c r="D20">
        <v>213</v>
      </c>
      <c r="E20">
        <v>224</v>
      </c>
    </row>
    <row r="21" spans="1:5">
      <c r="A21" s="24" t="s">
        <v>14</v>
      </c>
      <c r="B21">
        <v>1</v>
      </c>
      <c r="C21">
        <v>375</v>
      </c>
      <c r="D21">
        <v>413</v>
      </c>
      <c r="E21">
        <v>427</v>
      </c>
    </row>
    <row r="22" spans="1:5">
      <c r="A22" s="25" t="s">
        <v>20</v>
      </c>
      <c r="B22">
        <v>1</v>
      </c>
      <c r="C22">
        <v>375</v>
      </c>
      <c r="D22">
        <v>413</v>
      </c>
      <c r="E22">
        <v>427</v>
      </c>
    </row>
    <row r="23" spans="1:5">
      <c r="A23" s="23" t="s">
        <v>21</v>
      </c>
      <c r="B23">
        <v>1</v>
      </c>
      <c r="C23">
        <v>39</v>
      </c>
      <c r="D23">
        <v>35</v>
      </c>
      <c r="E23">
        <v>28</v>
      </c>
    </row>
    <row r="24" spans="1:5">
      <c r="A24" s="24" t="s">
        <v>6</v>
      </c>
      <c r="B24">
        <v>1</v>
      </c>
      <c r="C24">
        <v>39</v>
      </c>
      <c r="D24">
        <v>35</v>
      </c>
      <c r="E24">
        <v>28</v>
      </c>
    </row>
    <row r="25" spans="1:5">
      <c r="A25" s="25" t="s">
        <v>22</v>
      </c>
      <c r="B25">
        <v>1</v>
      </c>
      <c r="C25">
        <v>39</v>
      </c>
      <c r="D25">
        <v>35</v>
      </c>
      <c r="E25">
        <v>28</v>
      </c>
    </row>
    <row r="26" spans="1:5">
      <c r="A26" s="23" t="s">
        <v>23</v>
      </c>
      <c r="B26">
        <v>2</v>
      </c>
      <c r="C26">
        <v>438</v>
      </c>
      <c r="D26">
        <v>438</v>
      </c>
      <c r="E26">
        <v>412</v>
      </c>
    </row>
    <row r="27" spans="1:5">
      <c r="A27" s="24" t="s">
        <v>6</v>
      </c>
      <c r="B27">
        <v>1</v>
      </c>
      <c r="C27">
        <v>338</v>
      </c>
      <c r="D27">
        <v>335</v>
      </c>
      <c r="E27">
        <v>316</v>
      </c>
    </row>
    <row r="28" spans="1:5">
      <c r="A28" s="25" t="s">
        <v>24</v>
      </c>
      <c r="B28">
        <v>1</v>
      </c>
      <c r="C28">
        <v>338</v>
      </c>
      <c r="D28">
        <v>335</v>
      </c>
      <c r="E28">
        <v>316</v>
      </c>
    </row>
    <row r="29" spans="1:5">
      <c r="A29" s="24" t="s">
        <v>11</v>
      </c>
      <c r="B29">
        <v>1</v>
      </c>
      <c r="C29">
        <v>100</v>
      </c>
      <c r="D29">
        <v>103</v>
      </c>
      <c r="E29">
        <v>96</v>
      </c>
    </row>
    <row r="30" spans="1:5">
      <c r="A30" s="25" t="s">
        <v>25</v>
      </c>
      <c r="B30">
        <v>1</v>
      </c>
      <c r="C30">
        <v>100</v>
      </c>
      <c r="D30">
        <v>103</v>
      </c>
      <c r="E30">
        <v>96</v>
      </c>
    </row>
    <row r="31" spans="1:5">
      <c r="A31" s="23" t="s">
        <v>26</v>
      </c>
      <c r="B31">
        <v>2</v>
      </c>
      <c r="C31">
        <v>1166</v>
      </c>
      <c r="D31">
        <v>1143</v>
      </c>
      <c r="E31">
        <v>1114</v>
      </c>
    </row>
    <row r="32" spans="1:5">
      <c r="A32" s="24" t="s">
        <v>6</v>
      </c>
      <c r="B32">
        <v>2</v>
      </c>
      <c r="C32">
        <v>1166</v>
      </c>
      <c r="D32">
        <v>1143</v>
      </c>
      <c r="E32">
        <v>1114</v>
      </c>
    </row>
    <row r="33" spans="1:5">
      <c r="A33" s="25" t="s">
        <v>27</v>
      </c>
      <c r="B33">
        <v>1</v>
      </c>
      <c r="C33">
        <v>434</v>
      </c>
      <c r="D33">
        <v>436</v>
      </c>
      <c r="E33">
        <v>423</v>
      </c>
    </row>
    <row r="34" spans="1:5">
      <c r="A34" s="25" t="s">
        <v>28</v>
      </c>
      <c r="B34">
        <v>1</v>
      </c>
      <c r="C34">
        <v>732</v>
      </c>
      <c r="D34">
        <v>707</v>
      </c>
      <c r="E34">
        <v>691</v>
      </c>
    </row>
    <row r="35" spans="1:5">
      <c r="A35" s="23" t="s">
        <v>29</v>
      </c>
      <c r="B35">
        <v>6</v>
      </c>
      <c r="C35">
        <v>1056</v>
      </c>
      <c r="D35">
        <v>1067</v>
      </c>
      <c r="E35">
        <v>1050</v>
      </c>
    </row>
    <row r="36" spans="1:5">
      <c r="A36" s="24" t="s">
        <v>6</v>
      </c>
      <c r="B36">
        <v>1</v>
      </c>
      <c r="C36">
        <v>77</v>
      </c>
      <c r="D36">
        <v>78</v>
      </c>
      <c r="E36">
        <v>70</v>
      </c>
    </row>
    <row r="37" spans="1:5">
      <c r="A37" s="25" t="s">
        <v>30</v>
      </c>
      <c r="B37">
        <v>1</v>
      </c>
      <c r="C37">
        <v>77</v>
      </c>
      <c r="D37">
        <v>78</v>
      </c>
      <c r="E37">
        <v>70</v>
      </c>
    </row>
    <row r="38" spans="1:5">
      <c r="A38" s="24" t="s">
        <v>11</v>
      </c>
      <c r="B38">
        <v>2</v>
      </c>
      <c r="C38">
        <v>620</v>
      </c>
      <c r="D38">
        <v>596</v>
      </c>
      <c r="E38">
        <v>615</v>
      </c>
    </row>
    <row r="39" spans="1:5">
      <c r="A39" s="25" t="s">
        <v>31</v>
      </c>
      <c r="B39">
        <v>1</v>
      </c>
      <c r="C39">
        <v>347</v>
      </c>
      <c r="D39">
        <v>331</v>
      </c>
      <c r="E39">
        <v>353</v>
      </c>
    </row>
    <row r="40" spans="1:5">
      <c r="A40" s="25" t="s">
        <v>32</v>
      </c>
      <c r="B40">
        <v>1</v>
      </c>
      <c r="C40">
        <v>273</v>
      </c>
      <c r="D40">
        <v>265</v>
      </c>
      <c r="E40">
        <v>262</v>
      </c>
    </row>
    <row r="41" spans="1:5">
      <c r="A41" s="24" t="s">
        <v>33</v>
      </c>
      <c r="B41">
        <v>1</v>
      </c>
      <c r="C41">
        <v>21</v>
      </c>
      <c r="D41">
        <v>21</v>
      </c>
      <c r="E41">
        <v>21</v>
      </c>
    </row>
    <row r="42" spans="1:5">
      <c r="A42" s="25" t="s">
        <v>34</v>
      </c>
      <c r="B42">
        <v>1</v>
      </c>
      <c r="C42">
        <v>21</v>
      </c>
      <c r="D42">
        <v>21</v>
      </c>
      <c r="E42">
        <v>21</v>
      </c>
    </row>
    <row r="43" spans="1:5">
      <c r="A43" s="24" t="s">
        <v>14</v>
      </c>
      <c r="B43">
        <v>2</v>
      </c>
      <c r="C43">
        <v>338</v>
      </c>
      <c r="D43">
        <v>372</v>
      </c>
      <c r="E43">
        <v>344</v>
      </c>
    </row>
    <row r="44" spans="1:5">
      <c r="A44" s="25" t="s">
        <v>35</v>
      </c>
      <c r="B44">
        <v>1</v>
      </c>
      <c r="C44">
        <v>249</v>
      </c>
      <c r="D44">
        <v>275</v>
      </c>
      <c r="E44">
        <v>247</v>
      </c>
    </row>
    <row r="45" spans="1:5">
      <c r="A45" s="25" t="s">
        <v>36</v>
      </c>
      <c r="B45">
        <v>1</v>
      </c>
      <c r="C45">
        <v>89</v>
      </c>
      <c r="D45">
        <v>97</v>
      </c>
      <c r="E45">
        <v>97</v>
      </c>
    </row>
    <row r="46" spans="1:5">
      <c r="A46" s="23" t="s">
        <v>37</v>
      </c>
      <c r="B46">
        <v>2</v>
      </c>
      <c r="C46">
        <v>73</v>
      </c>
      <c r="D46">
        <v>71</v>
      </c>
      <c r="E46">
        <v>69</v>
      </c>
    </row>
    <row r="47" spans="1:5">
      <c r="A47" s="24" t="s">
        <v>6</v>
      </c>
      <c r="B47">
        <v>2</v>
      </c>
      <c r="C47">
        <v>73</v>
      </c>
      <c r="D47">
        <v>71</v>
      </c>
      <c r="E47">
        <v>69</v>
      </c>
    </row>
    <row r="48" spans="1:5">
      <c r="A48" s="25" t="s">
        <v>38</v>
      </c>
      <c r="B48">
        <v>1</v>
      </c>
      <c r="C48">
        <v>44</v>
      </c>
      <c r="D48">
        <v>44</v>
      </c>
      <c r="E48">
        <v>42</v>
      </c>
    </row>
    <row r="49" spans="1:5">
      <c r="A49" s="25" t="s">
        <v>39</v>
      </c>
      <c r="B49">
        <v>1</v>
      </c>
      <c r="C49">
        <v>29</v>
      </c>
      <c r="D49">
        <v>27</v>
      </c>
      <c r="E49">
        <v>27</v>
      </c>
    </row>
    <row r="50" spans="1:5">
      <c r="A50" s="23" t="s">
        <v>40</v>
      </c>
      <c r="B50">
        <v>2</v>
      </c>
      <c r="C50">
        <v>21</v>
      </c>
      <c r="D50">
        <v>19</v>
      </c>
      <c r="E50">
        <v>18</v>
      </c>
    </row>
    <row r="51" spans="1:5">
      <c r="A51" s="24" t="s">
        <v>6</v>
      </c>
      <c r="B51">
        <v>2</v>
      </c>
      <c r="C51">
        <v>21</v>
      </c>
      <c r="D51">
        <v>19</v>
      </c>
      <c r="E51">
        <v>18</v>
      </c>
    </row>
    <row r="52" spans="1:5">
      <c r="A52" s="25" t="s">
        <v>41</v>
      </c>
      <c r="B52">
        <v>1</v>
      </c>
      <c r="C52">
        <v>15</v>
      </c>
      <c r="D52">
        <v>15</v>
      </c>
      <c r="E52">
        <v>14</v>
      </c>
    </row>
    <row r="53" spans="1:5">
      <c r="A53" s="25" t="s">
        <v>42</v>
      </c>
      <c r="B53">
        <v>1</v>
      </c>
      <c r="C53">
        <v>6</v>
      </c>
      <c r="D53">
        <v>4</v>
      </c>
      <c r="E53">
        <v>4</v>
      </c>
    </row>
    <row r="54" spans="1:5">
      <c r="A54" s="23" t="s">
        <v>43</v>
      </c>
      <c r="B54">
        <v>25</v>
      </c>
      <c r="C54">
        <v>6162</v>
      </c>
      <c r="D54">
        <v>6150</v>
      </c>
      <c r="E54">
        <v>6055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59B6-8EFE-4D16-9ED5-54EF2BB87020}">
  <dimension ref="A2:AZ32"/>
  <sheetViews>
    <sheetView tabSelected="1" zoomScaleNormal="100" workbookViewId="0">
      <selection activeCell="S15" sqref="S15"/>
    </sheetView>
  </sheetViews>
  <sheetFormatPr defaultColWidth="11.42578125" defaultRowHeight="15"/>
  <cols>
    <col min="2" max="2" width="25.85546875" customWidth="1"/>
    <col min="3" max="13" width="9.28515625" customWidth="1"/>
    <col min="14" max="14" width="6.140625" customWidth="1"/>
    <col min="15" max="15" width="38.42578125" customWidth="1"/>
    <col min="16" max="16" width="11.140625" bestFit="1" customWidth="1"/>
    <col min="17" max="17" width="10.28515625" bestFit="1" customWidth="1"/>
    <col min="18" max="18" width="9.42578125" bestFit="1" customWidth="1"/>
    <col min="19" max="19" width="13" bestFit="1" customWidth="1"/>
    <col min="20" max="20" width="14.140625" bestFit="1" customWidth="1"/>
    <col min="21" max="21" width="15" bestFit="1" customWidth="1"/>
    <col min="22" max="22" width="12.28515625" customWidth="1"/>
    <col min="23" max="23" width="14" customWidth="1"/>
    <col min="24" max="24" width="11.140625" customWidth="1"/>
    <col min="25" max="25" width="11.28515625" customWidth="1"/>
    <col min="26" max="26" width="14.140625" customWidth="1"/>
    <col min="27" max="27" width="14.42578125" customWidth="1"/>
    <col min="28" max="28" width="12.7109375" customWidth="1"/>
    <col min="29" max="29" width="29.7109375" customWidth="1"/>
    <col min="30" max="30" width="14.140625" customWidth="1"/>
    <col min="31" max="38" width="15.140625" customWidth="1"/>
    <col min="39" max="39" width="23.42578125" customWidth="1"/>
    <col min="40" max="41" width="15.140625" customWidth="1"/>
    <col min="42" max="43" width="17.7109375" style="50" customWidth="1"/>
    <col min="44" max="45" width="16.85546875" customWidth="1"/>
    <col min="46" max="48" width="15.140625" customWidth="1"/>
    <col min="51" max="51" width="13.28515625" bestFit="1" customWidth="1"/>
    <col min="52" max="52" width="11.5703125" bestFit="1" customWidth="1"/>
  </cols>
  <sheetData>
    <row r="2" spans="1:52" ht="34.15" customHeight="1">
      <c r="C2" s="81" t="s">
        <v>44</v>
      </c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52" ht="72">
      <c r="B3" s="1" t="s">
        <v>45</v>
      </c>
      <c r="C3" s="26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51</v>
      </c>
      <c r="I3" s="2" t="s">
        <v>52</v>
      </c>
      <c r="J3" s="2" t="s">
        <v>53</v>
      </c>
      <c r="K3" s="2" t="s">
        <v>54</v>
      </c>
      <c r="L3" s="2" t="s">
        <v>55</v>
      </c>
      <c r="M3" s="2" t="s">
        <v>56</v>
      </c>
      <c r="N3" s="3" t="s">
        <v>57</v>
      </c>
      <c r="O3" s="4" t="s">
        <v>58</v>
      </c>
      <c r="P3" s="4" t="s">
        <v>59</v>
      </c>
      <c r="Q3" s="4" t="s">
        <v>60</v>
      </c>
      <c r="R3" s="5" t="s">
        <v>61</v>
      </c>
      <c r="S3" s="4" t="s">
        <v>62</v>
      </c>
      <c r="T3" s="4" t="s">
        <v>63</v>
      </c>
      <c r="U3" s="4" t="s">
        <v>64</v>
      </c>
      <c r="V3" s="4" t="s">
        <v>65</v>
      </c>
      <c r="W3" s="34" t="s">
        <v>66</v>
      </c>
      <c r="X3" s="4" t="s">
        <v>67</v>
      </c>
      <c r="Y3" s="6" t="s">
        <v>68</v>
      </c>
      <c r="Z3" s="4" t="s">
        <v>69</v>
      </c>
      <c r="AA3" s="7" t="s">
        <v>70</v>
      </c>
      <c r="AB3" s="7" t="s">
        <v>71</v>
      </c>
      <c r="AC3" s="7" t="s">
        <v>72</v>
      </c>
      <c r="AD3" s="7" t="s">
        <v>73</v>
      </c>
      <c r="AE3" s="7" t="s">
        <v>74</v>
      </c>
      <c r="AF3" s="7" t="s">
        <v>75</v>
      </c>
      <c r="AG3" s="7" t="s">
        <v>76</v>
      </c>
      <c r="AH3" s="4" t="s">
        <v>77</v>
      </c>
      <c r="AI3" s="4" t="s">
        <v>78</v>
      </c>
      <c r="AJ3" s="4" t="s">
        <v>79</v>
      </c>
      <c r="AK3" s="4" t="s">
        <v>80</v>
      </c>
      <c r="AL3" s="4" t="s">
        <v>81</v>
      </c>
      <c r="AM3" s="8" t="s">
        <v>82</v>
      </c>
      <c r="AN3" s="8" t="s">
        <v>83</v>
      </c>
      <c r="AO3" s="8" t="s">
        <v>84</v>
      </c>
      <c r="AP3" s="51" t="s">
        <v>85</v>
      </c>
      <c r="AQ3" s="51" t="s">
        <v>86</v>
      </c>
      <c r="AR3" s="8" t="s">
        <v>87</v>
      </c>
      <c r="AS3" s="8" t="s">
        <v>88</v>
      </c>
      <c r="AT3" s="8" t="s">
        <v>89</v>
      </c>
      <c r="AU3" s="8" t="s">
        <v>90</v>
      </c>
      <c r="AV3" s="8" t="s">
        <v>91</v>
      </c>
    </row>
    <row r="4" spans="1:52">
      <c r="N4" s="37"/>
      <c r="O4" s="37">
        <v>80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43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52"/>
      <c r="AQ4" s="52"/>
      <c r="AR4" s="37"/>
      <c r="AS4" s="37"/>
      <c r="AT4" s="37"/>
      <c r="AU4" s="37"/>
      <c r="AV4" s="37"/>
    </row>
    <row r="5" spans="1:52">
      <c r="N5" s="37"/>
      <c r="O5" s="37">
        <v>160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43"/>
      <c r="AC5" s="43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52"/>
      <c r="AQ5" s="52"/>
      <c r="AR5" s="37"/>
      <c r="AS5" s="37"/>
      <c r="AT5" s="37"/>
      <c r="AU5" s="37"/>
      <c r="AV5" s="37"/>
    </row>
    <row r="6" spans="1:52">
      <c r="B6" s="9" t="s">
        <v>92</v>
      </c>
      <c r="C6" s="9">
        <v>24</v>
      </c>
      <c r="D6" s="28">
        <v>18</v>
      </c>
      <c r="E6" s="28">
        <v>12</v>
      </c>
      <c r="F6" s="28">
        <v>6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9" t="s">
        <v>93</v>
      </c>
      <c r="O6" s="9" t="s">
        <v>34</v>
      </c>
      <c r="P6" s="11" t="s">
        <v>33</v>
      </c>
      <c r="Q6" s="11">
        <v>1</v>
      </c>
      <c r="R6" s="9" t="s">
        <v>94</v>
      </c>
      <c r="S6" s="11">
        <f t="shared" ref="S6:S29" si="0">C6</f>
        <v>24</v>
      </c>
      <c r="T6" s="11">
        <v>24</v>
      </c>
      <c r="U6" s="12">
        <f t="shared" ref="U6:U29" si="1">ROUND(T6*85%,0)</f>
        <v>20</v>
      </c>
      <c r="V6" s="11">
        <f t="shared" ref="V6:V29" si="2">U6-S6</f>
        <v>-4</v>
      </c>
      <c r="W6" s="11">
        <v>10.15</v>
      </c>
      <c r="X6" s="14">
        <f t="shared" ref="X6:X29" si="3">U6/Q6</f>
        <v>20</v>
      </c>
      <c r="Y6" s="13">
        <f t="shared" ref="Y6:Y19" si="4">S6/W6</f>
        <v>2.3645320197044333</v>
      </c>
      <c r="Z6" s="11">
        <v>12</v>
      </c>
      <c r="AA6" s="11"/>
      <c r="AB6" s="16">
        <f t="shared" ref="AB6:AB29" si="5">ROUND((AA6*1000)/T6,0)</f>
        <v>0</v>
      </c>
      <c r="AC6" s="16" t="s">
        <v>95</v>
      </c>
      <c r="AD6" s="11" t="s">
        <v>96</v>
      </c>
      <c r="AE6" s="11" t="s">
        <v>96</v>
      </c>
      <c r="AF6" s="11">
        <v>2023</v>
      </c>
      <c r="AG6" s="11">
        <v>785</v>
      </c>
      <c r="AH6" s="11">
        <v>4</v>
      </c>
      <c r="AI6" s="11">
        <v>4</v>
      </c>
      <c r="AJ6" s="11">
        <v>4</v>
      </c>
      <c r="AK6" s="11">
        <v>4</v>
      </c>
      <c r="AL6" s="11"/>
      <c r="AM6" s="11">
        <v>267</v>
      </c>
      <c r="AN6" s="11">
        <f>559000</f>
        <v>559000</v>
      </c>
      <c r="AO6" s="14"/>
      <c r="AP6" s="13"/>
      <c r="AQ6" s="14">
        <v>1177500</v>
      </c>
      <c r="AR6" s="19"/>
      <c r="AS6" s="19">
        <v>-42000</v>
      </c>
      <c r="AT6" s="19">
        <v>566900</v>
      </c>
      <c r="AU6" s="19">
        <v>8638500</v>
      </c>
      <c r="AV6" s="20">
        <f t="shared" ref="AV6:AV29" si="6">(AU6+AT6+AS6+AO6)/S6</f>
        <v>381808.33333333331</v>
      </c>
      <c r="AY6" s="80">
        <f t="shared" ref="AY6:AY19" si="7">SUM(AT6:AT6)</f>
        <v>566900</v>
      </c>
      <c r="AZ6" s="80">
        <f t="shared" ref="AZ6:AZ28" si="8">AY6/AG6</f>
        <v>722.16560509554142</v>
      </c>
    </row>
    <row r="7" spans="1:52" ht="24">
      <c r="B7" s="9" t="s">
        <v>97</v>
      </c>
      <c r="C7" s="9">
        <v>288</v>
      </c>
      <c r="D7" s="29">
        <v>274</v>
      </c>
      <c r="E7" s="29">
        <v>253</v>
      </c>
      <c r="F7" s="29">
        <v>253</v>
      </c>
      <c r="G7" s="29">
        <v>240</v>
      </c>
      <c r="H7" s="29">
        <f>218+10</f>
        <v>228</v>
      </c>
      <c r="I7" s="28">
        <v>214</v>
      </c>
      <c r="J7" s="28">
        <v>210</v>
      </c>
      <c r="K7" s="28">
        <v>206</v>
      </c>
      <c r="L7" s="28">
        <v>206</v>
      </c>
      <c r="M7" s="28">
        <f>204+10</f>
        <v>214</v>
      </c>
      <c r="N7" s="9" t="s">
        <v>93</v>
      </c>
      <c r="O7" s="9" t="s">
        <v>12</v>
      </c>
      <c r="P7" s="10" t="s">
        <v>11</v>
      </c>
      <c r="Q7" s="11">
        <v>2</v>
      </c>
      <c r="R7" s="9" t="s">
        <v>98</v>
      </c>
      <c r="S7" s="11">
        <f t="shared" si="0"/>
        <v>288</v>
      </c>
      <c r="T7" s="11">
        <v>425</v>
      </c>
      <c r="U7" s="12">
        <f t="shared" si="1"/>
        <v>361</v>
      </c>
      <c r="V7" s="11">
        <f t="shared" si="2"/>
        <v>73</v>
      </c>
      <c r="W7" s="11">
        <v>27.59</v>
      </c>
      <c r="X7" s="14">
        <f t="shared" si="3"/>
        <v>180.5</v>
      </c>
      <c r="Y7" s="13">
        <f t="shared" si="4"/>
        <v>10.438564697354114</v>
      </c>
      <c r="Z7" s="11">
        <v>37</v>
      </c>
      <c r="AA7" s="15">
        <v>7.4</v>
      </c>
      <c r="AB7" s="16">
        <f t="shared" si="5"/>
        <v>17</v>
      </c>
      <c r="AC7" s="16">
        <v>1970</v>
      </c>
      <c r="AD7" s="17">
        <v>1.21</v>
      </c>
      <c r="AE7" s="17">
        <v>2.29</v>
      </c>
      <c r="AF7" s="11">
        <v>2023</v>
      </c>
      <c r="AG7" s="11">
        <v>3067</v>
      </c>
      <c r="AH7" s="11"/>
      <c r="AI7" s="11"/>
      <c r="AJ7" s="11"/>
      <c r="AK7" s="11" t="s">
        <v>99</v>
      </c>
      <c r="AL7" s="11">
        <v>2022</v>
      </c>
      <c r="AM7" s="11">
        <v>733</v>
      </c>
      <c r="AN7" s="11"/>
      <c r="AO7" s="14">
        <f>AG7*AM7</f>
        <v>2248111</v>
      </c>
      <c r="AP7" s="53">
        <v>244755619</v>
      </c>
      <c r="AQ7" s="14">
        <v>4600500</v>
      </c>
      <c r="AR7" s="19"/>
      <c r="AS7" s="19">
        <v>-146300</v>
      </c>
      <c r="AT7" s="19">
        <v>953400</v>
      </c>
      <c r="AU7" s="19">
        <v>23782500</v>
      </c>
      <c r="AV7" s="20">
        <f t="shared" si="6"/>
        <v>93186.496527777781</v>
      </c>
      <c r="AY7" s="80">
        <f t="shared" si="7"/>
        <v>953400</v>
      </c>
      <c r="AZ7" s="80">
        <f t="shared" si="8"/>
        <v>310.85751548744702</v>
      </c>
    </row>
    <row r="8" spans="1:52">
      <c r="A8">
        <v>317</v>
      </c>
      <c r="B8" s="9" t="s">
        <v>97</v>
      </c>
      <c r="C8" s="9">
        <v>324</v>
      </c>
      <c r="D8" s="29">
        <v>320</v>
      </c>
      <c r="E8" s="29">
        <v>308</v>
      </c>
      <c r="F8" s="29">
        <v>301</v>
      </c>
      <c r="G8" s="29">
        <v>304</v>
      </c>
      <c r="H8" s="29">
        <v>297</v>
      </c>
      <c r="I8" s="29">
        <v>295</v>
      </c>
      <c r="J8" s="29">
        <f>268+10</f>
        <v>278</v>
      </c>
      <c r="K8" s="29">
        <f>258+10</f>
        <v>268</v>
      </c>
      <c r="L8" s="29">
        <f>240+15</f>
        <v>255</v>
      </c>
      <c r="M8" s="29">
        <v>255</v>
      </c>
      <c r="N8" s="9" t="s">
        <v>93</v>
      </c>
      <c r="O8" s="9" t="s">
        <v>15</v>
      </c>
      <c r="P8" s="11" t="s">
        <v>14</v>
      </c>
      <c r="Q8" s="11">
        <v>4</v>
      </c>
      <c r="R8" s="9" t="s">
        <v>98</v>
      </c>
      <c r="S8" s="11">
        <f t="shared" si="0"/>
        <v>324</v>
      </c>
      <c r="T8" s="11">
        <v>361</v>
      </c>
      <c r="U8" s="12">
        <f t="shared" si="1"/>
        <v>307</v>
      </c>
      <c r="V8" s="11">
        <f t="shared" si="2"/>
        <v>-17</v>
      </c>
      <c r="W8" s="11">
        <v>30.84</v>
      </c>
      <c r="X8" s="14">
        <f t="shared" si="3"/>
        <v>76.75</v>
      </c>
      <c r="Y8" s="13">
        <f t="shared" si="4"/>
        <v>10.505836575875486</v>
      </c>
      <c r="Z8" s="11">
        <v>35</v>
      </c>
      <c r="AA8" s="15">
        <v>11.5</v>
      </c>
      <c r="AB8" s="16">
        <f t="shared" si="5"/>
        <v>32</v>
      </c>
      <c r="AC8" s="16">
        <v>1969</v>
      </c>
      <c r="AD8" s="17">
        <v>0.97</v>
      </c>
      <c r="AE8" s="17">
        <v>2.29</v>
      </c>
      <c r="AF8" s="11">
        <v>2026</v>
      </c>
      <c r="AG8" s="11">
        <v>5009</v>
      </c>
      <c r="AH8" s="11">
        <v>3</v>
      </c>
      <c r="AI8" s="11">
        <v>3</v>
      </c>
      <c r="AJ8" s="11">
        <v>3</v>
      </c>
      <c r="AK8" s="11">
        <v>3</v>
      </c>
      <c r="AL8" s="11"/>
      <c r="AM8" s="11">
        <v>769</v>
      </c>
      <c r="AN8" s="11"/>
      <c r="AO8" s="14">
        <f t="shared" ref="AO8:AO29" si="9">AG8*AM8</f>
        <v>3851921</v>
      </c>
      <c r="AP8" s="53">
        <v>88364924</v>
      </c>
      <c r="AQ8" s="14">
        <v>10545000</v>
      </c>
      <c r="AR8" s="19"/>
      <c r="AS8" s="19">
        <v>-394400</v>
      </c>
      <c r="AT8" s="19">
        <v>1026800</v>
      </c>
      <c r="AU8" s="19">
        <v>25930400</v>
      </c>
      <c r="AV8" s="20">
        <f t="shared" si="6"/>
        <v>93872.595679012345</v>
      </c>
      <c r="AY8" s="80">
        <f t="shared" si="7"/>
        <v>1026800</v>
      </c>
      <c r="AZ8" s="80">
        <f t="shared" si="8"/>
        <v>204.99101617089241</v>
      </c>
    </row>
    <row r="9" spans="1:52">
      <c r="B9" s="9" t="s">
        <v>92</v>
      </c>
      <c r="C9" s="9">
        <v>356</v>
      </c>
      <c r="D9" s="31">
        <f>352</f>
        <v>352</v>
      </c>
      <c r="E9" s="31">
        <f>361</f>
        <v>361</v>
      </c>
      <c r="F9" s="31">
        <f>359</f>
        <v>359</v>
      </c>
      <c r="G9" s="31">
        <f>365</f>
        <v>365</v>
      </c>
      <c r="H9" s="31">
        <f>366</f>
        <v>366</v>
      </c>
      <c r="I9" s="28">
        <v>372</v>
      </c>
      <c r="J9" s="28">
        <v>378</v>
      </c>
      <c r="K9" s="32">
        <f>389+5</f>
        <v>394</v>
      </c>
      <c r="L9" s="32">
        <f>389+15</f>
        <v>404</v>
      </c>
      <c r="M9" s="32">
        <f>392+20</f>
        <v>412</v>
      </c>
      <c r="N9" s="9" t="s">
        <v>93</v>
      </c>
      <c r="O9" s="9" t="s">
        <v>31</v>
      </c>
      <c r="P9" s="11" t="s">
        <v>11</v>
      </c>
      <c r="Q9" s="11">
        <v>3</v>
      </c>
      <c r="R9" s="9" t="s">
        <v>98</v>
      </c>
      <c r="S9" s="11">
        <f t="shared" si="0"/>
        <v>356</v>
      </c>
      <c r="T9" s="49">
        <v>525</v>
      </c>
      <c r="U9" s="49">
        <f t="shared" si="1"/>
        <v>446</v>
      </c>
      <c r="V9" s="11">
        <f t="shared" si="2"/>
        <v>90</v>
      </c>
      <c r="W9" s="11">
        <v>34.5</v>
      </c>
      <c r="X9" s="14">
        <f t="shared" si="3"/>
        <v>148.66666666666666</v>
      </c>
      <c r="Y9" s="13">
        <f t="shared" si="4"/>
        <v>10.318840579710145</v>
      </c>
      <c r="Z9" s="11">
        <v>44</v>
      </c>
      <c r="AA9" s="15">
        <v>8.3000000000000007</v>
      </c>
      <c r="AB9" s="16">
        <f t="shared" si="5"/>
        <v>16</v>
      </c>
      <c r="AC9" s="16">
        <v>2020</v>
      </c>
      <c r="AD9" s="17">
        <v>0.01</v>
      </c>
      <c r="AE9" s="17">
        <v>0.71</v>
      </c>
      <c r="AF9" s="11">
        <v>2029</v>
      </c>
      <c r="AG9" s="11">
        <v>11450</v>
      </c>
      <c r="AH9" s="11">
        <v>4</v>
      </c>
      <c r="AI9" s="11">
        <v>4</v>
      </c>
      <c r="AJ9" s="11">
        <v>4</v>
      </c>
      <c r="AK9" s="11">
        <v>4</v>
      </c>
      <c r="AL9" s="11"/>
      <c r="AM9" s="11">
        <v>733</v>
      </c>
      <c r="AN9" s="11"/>
      <c r="AO9" s="14">
        <f t="shared" si="9"/>
        <v>8392850</v>
      </c>
      <c r="AP9" s="53">
        <v>16100491</v>
      </c>
      <c r="AQ9" s="14">
        <v>17175000</v>
      </c>
      <c r="AR9" s="19"/>
      <c r="AS9" s="19">
        <v>-729100</v>
      </c>
      <c r="AT9" s="19">
        <v>856400</v>
      </c>
      <c r="AU9" s="19">
        <v>26386900</v>
      </c>
      <c r="AV9" s="20">
        <f t="shared" si="6"/>
        <v>98053.511235955055</v>
      </c>
      <c r="AY9" s="80">
        <f t="shared" si="7"/>
        <v>856400</v>
      </c>
      <c r="AZ9" s="80">
        <f t="shared" si="8"/>
        <v>74.794759825327517</v>
      </c>
    </row>
    <row r="10" spans="1:52">
      <c r="B10" s="9" t="s">
        <v>92</v>
      </c>
      <c r="C10" s="9">
        <v>292</v>
      </c>
      <c r="D10" s="30">
        <f>300-10</f>
        <v>290</v>
      </c>
      <c r="E10" s="30">
        <f>257-10</f>
        <v>247</v>
      </c>
      <c r="F10" s="30">
        <f>268-20</f>
        <v>248</v>
      </c>
      <c r="G10" s="30">
        <f>262-30</f>
        <v>232</v>
      </c>
      <c r="H10" s="30">
        <f>259-30</f>
        <v>229</v>
      </c>
      <c r="I10" s="30">
        <f>260-30</f>
        <v>230</v>
      </c>
      <c r="J10" s="30">
        <f>262-30</f>
        <v>232</v>
      </c>
      <c r="K10" s="30">
        <f>265-30</f>
        <v>235</v>
      </c>
      <c r="L10" s="30">
        <f>265-30</f>
        <v>235</v>
      </c>
      <c r="M10" s="30">
        <f>267-30</f>
        <v>237</v>
      </c>
      <c r="N10" s="9" t="s">
        <v>93</v>
      </c>
      <c r="O10" s="9" t="s">
        <v>35</v>
      </c>
      <c r="P10" s="11" t="s">
        <v>14</v>
      </c>
      <c r="Q10" s="11">
        <v>4</v>
      </c>
      <c r="R10" s="9" t="s">
        <v>98</v>
      </c>
      <c r="S10" s="11">
        <f t="shared" si="0"/>
        <v>292</v>
      </c>
      <c r="T10" s="11">
        <v>550</v>
      </c>
      <c r="U10" s="12">
        <f t="shared" si="1"/>
        <v>468</v>
      </c>
      <c r="V10" s="11">
        <f t="shared" si="2"/>
        <v>176</v>
      </c>
      <c r="W10" s="11">
        <v>35.75</v>
      </c>
      <c r="X10" s="14">
        <f t="shared" si="3"/>
        <v>117</v>
      </c>
      <c r="Y10" s="13">
        <f t="shared" si="4"/>
        <v>8.1678321678321684</v>
      </c>
      <c r="Z10" s="11">
        <v>42</v>
      </c>
      <c r="AA10" s="15">
        <v>5.3</v>
      </c>
      <c r="AB10" s="16">
        <f t="shared" si="5"/>
        <v>10</v>
      </c>
      <c r="AC10" s="16">
        <v>1948</v>
      </c>
      <c r="AD10" s="17">
        <v>1.05</v>
      </c>
      <c r="AE10" s="17">
        <v>1.86</v>
      </c>
      <c r="AF10" s="11">
        <v>2027</v>
      </c>
      <c r="AG10" s="11">
        <v>9606</v>
      </c>
      <c r="AH10" s="11">
        <v>3</v>
      </c>
      <c r="AI10" s="11">
        <v>3</v>
      </c>
      <c r="AJ10" s="11">
        <v>3</v>
      </c>
      <c r="AK10" s="11">
        <v>3</v>
      </c>
      <c r="AL10" s="11"/>
      <c r="AM10" s="11">
        <v>733</v>
      </c>
      <c r="AN10" s="11"/>
      <c r="AO10" s="14">
        <f t="shared" si="9"/>
        <v>7041198</v>
      </c>
      <c r="AP10" s="53">
        <v>353268482</v>
      </c>
      <c r="AQ10" s="14">
        <v>14409000</v>
      </c>
      <c r="AR10" s="19"/>
      <c r="AS10" s="19">
        <v>-2268200</v>
      </c>
      <c r="AT10" s="19">
        <v>1230400</v>
      </c>
      <c r="AU10" s="19">
        <v>28555900</v>
      </c>
      <c r="AV10" s="20">
        <f t="shared" si="6"/>
        <v>118353.7602739726</v>
      </c>
      <c r="AY10" s="80">
        <f t="shared" si="7"/>
        <v>1230400</v>
      </c>
      <c r="AZ10" s="80">
        <f t="shared" si="8"/>
        <v>128.08661253383303</v>
      </c>
    </row>
    <row r="11" spans="1:52">
      <c r="B11" s="9" t="s">
        <v>97</v>
      </c>
      <c r="C11" s="9">
        <v>298</v>
      </c>
      <c r="D11" s="33">
        <f>289+11</f>
        <v>300</v>
      </c>
      <c r="E11" s="33">
        <f>297+10</f>
        <v>307</v>
      </c>
      <c r="F11" s="33">
        <f>300+10</f>
        <v>310</v>
      </c>
      <c r="G11" s="33">
        <f>295+10</f>
        <v>305</v>
      </c>
      <c r="H11" s="33">
        <f>293+10</f>
        <v>303</v>
      </c>
      <c r="I11" s="33">
        <f>330</f>
        <v>330</v>
      </c>
      <c r="J11" s="33">
        <v>337</v>
      </c>
      <c r="K11" s="33">
        <v>350</v>
      </c>
      <c r="L11" s="33">
        <f>354+20</f>
        <v>374</v>
      </c>
      <c r="M11" s="33">
        <f>368+20</f>
        <v>388</v>
      </c>
      <c r="N11" s="9" t="s">
        <v>93</v>
      </c>
      <c r="O11" s="9" t="s">
        <v>10</v>
      </c>
      <c r="P11" s="10" t="s">
        <v>6</v>
      </c>
      <c r="Q11" s="11">
        <v>2</v>
      </c>
      <c r="R11" s="9" t="s">
        <v>98</v>
      </c>
      <c r="S11" s="11">
        <f t="shared" si="0"/>
        <v>298</v>
      </c>
      <c r="T11" s="11">
        <v>420</v>
      </c>
      <c r="U11" s="12">
        <f t="shared" si="1"/>
        <v>357</v>
      </c>
      <c r="V11" s="11">
        <f t="shared" si="2"/>
        <v>59</v>
      </c>
      <c r="W11" s="11">
        <v>31.98</v>
      </c>
      <c r="X11" s="14">
        <f t="shared" si="3"/>
        <v>178.5</v>
      </c>
      <c r="Y11" s="13">
        <f t="shared" si="4"/>
        <v>9.3183239524702941</v>
      </c>
      <c r="Z11" s="11">
        <v>40</v>
      </c>
      <c r="AA11" s="15">
        <v>12.4</v>
      </c>
      <c r="AB11" s="16">
        <f t="shared" si="5"/>
        <v>30</v>
      </c>
      <c r="AC11" s="16" t="s">
        <v>100</v>
      </c>
      <c r="AD11" s="17">
        <v>1.1499999999999999</v>
      </c>
      <c r="AE11" s="17">
        <v>1.71</v>
      </c>
      <c r="AF11" s="11">
        <v>2028</v>
      </c>
      <c r="AG11" s="11">
        <v>4294</v>
      </c>
      <c r="AH11" s="11"/>
      <c r="AI11" s="11"/>
      <c r="AJ11" s="11"/>
      <c r="AK11" s="11" t="s">
        <v>101</v>
      </c>
      <c r="AL11" s="11"/>
      <c r="AM11" s="11">
        <v>733</v>
      </c>
      <c r="AN11" s="11"/>
      <c r="AO11" s="14">
        <f t="shared" si="9"/>
        <v>3147502</v>
      </c>
      <c r="AP11" s="53">
        <v>25982667</v>
      </c>
      <c r="AQ11" s="14">
        <v>6441000</v>
      </c>
      <c r="AR11" s="19"/>
      <c r="AS11" s="19">
        <v>-152000</v>
      </c>
      <c r="AT11" s="19">
        <v>999100</v>
      </c>
      <c r="AU11" s="19">
        <v>27309600</v>
      </c>
      <c r="AV11" s="20">
        <f t="shared" si="6"/>
        <v>105047.65771812081</v>
      </c>
      <c r="AY11" s="80">
        <f t="shared" si="7"/>
        <v>999100</v>
      </c>
      <c r="AZ11" s="80">
        <f t="shared" si="8"/>
        <v>232.67349790405217</v>
      </c>
    </row>
    <row r="12" spans="1:52">
      <c r="B12" s="9" t="s">
        <v>97</v>
      </c>
      <c r="C12" s="9">
        <v>382</v>
      </c>
      <c r="D12" s="29">
        <v>386</v>
      </c>
      <c r="E12" s="29">
        <v>380</v>
      </c>
      <c r="F12" s="29">
        <v>371</v>
      </c>
      <c r="G12" s="29">
        <v>388</v>
      </c>
      <c r="H12" s="29">
        <v>374</v>
      </c>
      <c r="I12" s="28">
        <v>389</v>
      </c>
      <c r="J12" s="28">
        <v>382</v>
      </c>
      <c r="K12" s="28">
        <v>388</v>
      </c>
      <c r="L12" s="28">
        <v>388</v>
      </c>
      <c r="M12" s="28">
        <v>392</v>
      </c>
      <c r="N12" s="9" t="s">
        <v>93</v>
      </c>
      <c r="O12" s="9" t="s">
        <v>13</v>
      </c>
      <c r="P12" s="11" t="s">
        <v>11</v>
      </c>
      <c r="Q12" s="11">
        <v>3</v>
      </c>
      <c r="R12" s="9" t="s">
        <v>98</v>
      </c>
      <c r="S12" s="11">
        <f t="shared" si="0"/>
        <v>382</v>
      </c>
      <c r="T12" s="11">
        <v>475</v>
      </c>
      <c r="U12" s="12">
        <f t="shared" si="1"/>
        <v>404</v>
      </c>
      <c r="V12" s="11">
        <f t="shared" si="2"/>
        <v>22</v>
      </c>
      <c r="W12" s="11">
        <v>40.479999999999997</v>
      </c>
      <c r="X12" s="14">
        <f t="shared" si="3"/>
        <v>134.66666666666666</v>
      </c>
      <c r="Y12" s="13">
        <f t="shared" si="4"/>
        <v>9.4367588932806328</v>
      </c>
      <c r="Z12" s="11">
        <v>53</v>
      </c>
      <c r="AA12" s="15">
        <v>16.25</v>
      </c>
      <c r="AB12" s="16">
        <f t="shared" si="5"/>
        <v>34</v>
      </c>
      <c r="AC12" s="16" t="s">
        <v>102</v>
      </c>
      <c r="AD12" s="17">
        <v>1.06</v>
      </c>
      <c r="AE12" s="17">
        <v>1.1399999999999999</v>
      </c>
      <c r="AF12" s="11">
        <v>2023</v>
      </c>
      <c r="AG12" s="11">
        <v>4536</v>
      </c>
      <c r="AH12" s="11">
        <v>4</v>
      </c>
      <c r="AI12" s="11">
        <v>4</v>
      </c>
      <c r="AJ12" s="11">
        <v>3</v>
      </c>
      <c r="AK12" s="11">
        <v>4</v>
      </c>
      <c r="AL12" s="11"/>
      <c r="AM12" s="11">
        <v>733</v>
      </c>
      <c r="AN12" s="11"/>
      <c r="AO12" s="14">
        <f t="shared" si="9"/>
        <v>3324888</v>
      </c>
      <c r="AP12" s="53">
        <v>39074025</v>
      </c>
      <c r="AQ12" s="14">
        <v>6804000</v>
      </c>
      <c r="AR12" s="19"/>
      <c r="AS12" s="19">
        <v>-257600</v>
      </c>
      <c r="AT12" s="19">
        <v>835900</v>
      </c>
      <c r="AU12" s="19">
        <v>31813400</v>
      </c>
      <c r="AV12" s="20">
        <f t="shared" si="6"/>
        <v>93498.921465968582</v>
      </c>
      <c r="AY12" s="80">
        <f t="shared" si="7"/>
        <v>835900</v>
      </c>
      <c r="AZ12" s="80">
        <f t="shared" si="8"/>
        <v>184.28130511463846</v>
      </c>
    </row>
    <row r="13" spans="1:52">
      <c r="B13" s="9" t="s">
        <v>103</v>
      </c>
      <c r="C13" s="9">
        <v>254</v>
      </c>
      <c r="D13" s="29">
        <v>234</v>
      </c>
      <c r="E13" s="29">
        <v>230</v>
      </c>
      <c r="F13" s="29">
        <v>215</v>
      </c>
      <c r="G13" s="29">
        <v>214</v>
      </c>
      <c r="H13" s="29">
        <v>197</v>
      </c>
      <c r="I13" s="28">
        <v>188</v>
      </c>
      <c r="J13" s="28">
        <v>183</v>
      </c>
      <c r="K13" s="28">
        <v>179</v>
      </c>
      <c r="L13" s="28">
        <v>179</v>
      </c>
      <c r="M13" s="28">
        <f>168+10</f>
        <v>178</v>
      </c>
      <c r="N13" s="9" t="s">
        <v>93</v>
      </c>
      <c r="O13" s="9" t="s">
        <v>17</v>
      </c>
      <c r="P13" s="11" t="s">
        <v>11</v>
      </c>
      <c r="Q13" s="11">
        <v>2</v>
      </c>
      <c r="R13" s="9" t="s">
        <v>98</v>
      </c>
      <c r="S13" s="11">
        <f t="shared" si="0"/>
        <v>254</v>
      </c>
      <c r="T13" s="11">
        <v>350</v>
      </c>
      <c r="U13" s="12">
        <f t="shared" si="1"/>
        <v>298</v>
      </c>
      <c r="V13" s="11">
        <f t="shared" si="2"/>
        <v>44</v>
      </c>
      <c r="W13" s="11">
        <v>26.75</v>
      </c>
      <c r="X13" s="14">
        <f t="shared" si="3"/>
        <v>149</v>
      </c>
      <c r="Y13" s="13">
        <f t="shared" si="4"/>
        <v>9.4953271028037385</v>
      </c>
      <c r="Z13" s="11">
        <v>37</v>
      </c>
      <c r="AA13" s="18">
        <v>8</v>
      </c>
      <c r="AB13" s="16">
        <f t="shared" si="5"/>
        <v>23</v>
      </c>
      <c r="AC13" s="16" t="s">
        <v>104</v>
      </c>
      <c r="AD13" s="17">
        <v>1.1399999999999999</v>
      </c>
      <c r="AE13" s="17">
        <v>1.86</v>
      </c>
      <c r="AF13" s="11">
        <v>2024</v>
      </c>
      <c r="AG13" s="11">
        <v>4250</v>
      </c>
      <c r="AH13" s="11">
        <v>3</v>
      </c>
      <c r="AI13" s="11">
        <v>3</v>
      </c>
      <c r="AJ13" s="11">
        <v>3</v>
      </c>
      <c r="AK13" s="11">
        <v>3</v>
      </c>
      <c r="AL13" s="11"/>
      <c r="AM13" s="11">
        <v>733</v>
      </c>
      <c r="AN13" s="11"/>
      <c r="AO13" s="14">
        <f t="shared" si="9"/>
        <v>3115250</v>
      </c>
      <c r="AP13" s="53">
        <v>151275875</v>
      </c>
      <c r="AQ13" s="14">
        <v>6125000</v>
      </c>
      <c r="AR13" s="19"/>
      <c r="AS13" s="19">
        <v>-351400</v>
      </c>
      <c r="AT13" s="19">
        <v>686000</v>
      </c>
      <c r="AU13" s="19">
        <v>22631000</v>
      </c>
      <c r="AV13" s="20">
        <f t="shared" si="6"/>
        <v>102680.51181102362</v>
      </c>
      <c r="AY13" s="80">
        <f t="shared" si="7"/>
        <v>686000</v>
      </c>
      <c r="AZ13" s="80">
        <f t="shared" si="8"/>
        <v>161.41176470588235</v>
      </c>
    </row>
    <row r="14" spans="1:52">
      <c r="B14" s="9" t="s">
        <v>103</v>
      </c>
      <c r="C14" s="9">
        <v>380</v>
      </c>
      <c r="D14" s="29">
        <v>374</v>
      </c>
      <c r="E14" s="29">
        <v>361</v>
      </c>
      <c r="F14" s="29">
        <v>389</v>
      </c>
      <c r="G14" s="29">
        <v>385</v>
      </c>
      <c r="H14" s="29">
        <v>387</v>
      </c>
      <c r="I14" s="29">
        <f>371+6</f>
        <v>377</v>
      </c>
      <c r="J14" s="29">
        <f>359+7</f>
        <v>366</v>
      </c>
      <c r="K14" s="29">
        <v>343</v>
      </c>
      <c r="L14" s="29">
        <f>313+2</f>
        <v>315</v>
      </c>
      <c r="M14" s="29">
        <v>310</v>
      </c>
      <c r="N14" s="9" t="s">
        <v>93</v>
      </c>
      <c r="O14" s="9" t="s">
        <v>20</v>
      </c>
      <c r="P14" s="11" t="s">
        <v>14</v>
      </c>
      <c r="Q14" s="11">
        <v>5</v>
      </c>
      <c r="R14" s="9" t="s">
        <v>98</v>
      </c>
      <c r="S14" s="11">
        <f t="shared" si="0"/>
        <v>380</v>
      </c>
      <c r="T14" s="11">
        <v>390</v>
      </c>
      <c r="U14" s="12">
        <f t="shared" si="1"/>
        <v>332</v>
      </c>
      <c r="V14" s="11">
        <f t="shared" si="2"/>
        <v>-48</v>
      </c>
      <c r="W14" s="13">
        <v>40.32</v>
      </c>
      <c r="X14" s="14">
        <f t="shared" si="3"/>
        <v>66.400000000000006</v>
      </c>
      <c r="Y14" s="13">
        <f t="shared" si="4"/>
        <v>9.424603174603174</v>
      </c>
      <c r="Z14" s="11">
        <v>47</v>
      </c>
      <c r="AA14" s="21">
        <v>8</v>
      </c>
      <c r="AB14" s="16">
        <f t="shared" si="5"/>
        <v>21</v>
      </c>
      <c r="AC14" s="16" t="s">
        <v>105</v>
      </c>
      <c r="AD14" s="17">
        <v>1</v>
      </c>
      <c r="AE14" s="17">
        <v>1.86</v>
      </c>
      <c r="AF14" s="11">
        <v>2027</v>
      </c>
      <c r="AG14" s="11">
        <v>10929</v>
      </c>
      <c r="AH14" s="11">
        <v>2</v>
      </c>
      <c r="AI14" s="11">
        <v>3</v>
      </c>
      <c r="AJ14" s="11">
        <v>3</v>
      </c>
      <c r="AK14" s="11">
        <v>2.5</v>
      </c>
      <c r="AL14" s="11"/>
      <c r="AM14" s="11">
        <v>769</v>
      </c>
      <c r="AN14" s="11"/>
      <c r="AO14" s="14">
        <f t="shared" si="9"/>
        <v>8404401</v>
      </c>
      <c r="AP14" s="53">
        <v>144094156</v>
      </c>
      <c r="AQ14" s="14">
        <v>16193500</v>
      </c>
      <c r="AR14" s="19"/>
      <c r="AS14" s="19">
        <v>-411900</v>
      </c>
      <c r="AT14" s="19">
        <v>1191600</v>
      </c>
      <c r="AU14" s="19">
        <v>33342300</v>
      </c>
      <c r="AV14" s="20">
        <f t="shared" si="6"/>
        <v>111911.58157894737</v>
      </c>
      <c r="AY14" s="80">
        <f t="shared" si="7"/>
        <v>1191600</v>
      </c>
      <c r="AZ14" s="80">
        <f t="shared" si="8"/>
        <v>109.03101839143562</v>
      </c>
    </row>
    <row r="15" spans="1:52">
      <c r="B15" s="9" t="s">
        <v>106</v>
      </c>
      <c r="C15" s="9">
        <v>23</v>
      </c>
      <c r="D15" s="29">
        <v>22</v>
      </c>
      <c r="E15" s="29">
        <v>21</v>
      </c>
      <c r="F15" s="29">
        <v>20</v>
      </c>
      <c r="G15" s="29">
        <v>18</v>
      </c>
      <c r="H15" s="29">
        <v>18</v>
      </c>
      <c r="I15" s="28">
        <v>17</v>
      </c>
      <c r="J15" s="28">
        <v>16</v>
      </c>
      <c r="K15" s="28">
        <v>15</v>
      </c>
      <c r="L15" s="28">
        <v>15</v>
      </c>
      <c r="M15" s="28">
        <v>15</v>
      </c>
      <c r="N15" s="9" t="s">
        <v>93</v>
      </c>
      <c r="O15" s="9" t="s">
        <v>22</v>
      </c>
      <c r="P15" s="10" t="s">
        <v>6</v>
      </c>
      <c r="Q15" s="11">
        <v>1</v>
      </c>
      <c r="R15" s="9" t="s">
        <v>98</v>
      </c>
      <c r="S15" s="11">
        <f t="shared" si="0"/>
        <v>23</v>
      </c>
      <c r="T15" s="11">
        <v>70</v>
      </c>
      <c r="U15" s="12">
        <f t="shared" si="1"/>
        <v>60</v>
      </c>
      <c r="V15" s="11">
        <f t="shared" si="2"/>
        <v>37</v>
      </c>
      <c r="W15" s="13">
        <v>7.32</v>
      </c>
      <c r="X15" s="14">
        <f t="shared" si="3"/>
        <v>60</v>
      </c>
      <c r="Y15" s="13">
        <f t="shared" si="4"/>
        <v>3.1420765027322402</v>
      </c>
      <c r="Z15" s="11">
        <v>9</v>
      </c>
      <c r="AA15" s="15">
        <v>8.1999999999999993</v>
      </c>
      <c r="AB15" s="16">
        <f t="shared" si="5"/>
        <v>117</v>
      </c>
      <c r="AC15" s="16" t="s">
        <v>107</v>
      </c>
      <c r="AD15" s="17">
        <v>0.95</v>
      </c>
      <c r="AE15" s="17">
        <v>2</v>
      </c>
      <c r="AF15" s="11">
        <v>2028</v>
      </c>
      <c r="AG15" s="11">
        <v>1631</v>
      </c>
      <c r="AH15" s="11">
        <v>3</v>
      </c>
      <c r="AI15" s="11">
        <v>1</v>
      </c>
      <c r="AJ15" s="11">
        <v>3</v>
      </c>
      <c r="AK15" s="11">
        <v>2</v>
      </c>
      <c r="AL15" s="11"/>
      <c r="AM15" s="11">
        <v>733</v>
      </c>
      <c r="AN15" s="11"/>
      <c r="AO15" s="14">
        <f t="shared" si="9"/>
        <v>1195523</v>
      </c>
      <c r="AP15" s="53">
        <v>53653083</v>
      </c>
      <c r="AQ15" s="14">
        <v>2446500</v>
      </c>
      <c r="AR15" s="19"/>
      <c r="AS15" s="19">
        <v>-448600</v>
      </c>
      <c r="AT15" s="19">
        <v>315700</v>
      </c>
      <c r="AU15" s="19">
        <v>5456800</v>
      </c>
      <c r="AV15" s="20">
        <f t="shared" si="6"/>
        <v>283453.17391304346</v>
      </c>
      <c r="AY15" s="80">
        <f t="shared" si="7"/>
        <v>315700</v>
      </c>
      <c r="AZ15" s="80">
        <f t="shared" si="8"/>
        <v>193.56223175965664</v>
      </c>
    </row>
    <row r="16" spans="1:52">
      <c r="B16" s="9" t="s">
        <v>108</v>
      </c>
      <c r="C16" s="9">
        <v>325</v>
      </c>
      <c r="D16" s="29">
        <v>326</v>
      </c>
      <c r="E16" s="29">
        <v>339</v>
      </c>
      <c r="F16" s="29">
        <v>344</v>
      </c>
      <c r="G16" s="29">
        <v>358</v>
      </c>
      <c r="H16" s="29">
        <v>355</v>
      </c>
      <c r="I16" s="28">
        <v>355</v>
      </c>
      <c r="J16" s="28">
        <v>360</v>
      </c>
      <c r="K16" s="28">
        <v>355</v>
      </c>
      <c r="L16" s="28">
        <v>350</v>
      </c>
      <c r="M16" s="28">
        <v>344</v>
      </c>
      <c r="N16" s="9" t="s">
        <v>93</v>
      </c>
      <c r="O16" s="9" t="s">
        <v>24</v>
      </c>
      <c r="P16" s="10" t="s">
        <v>6</v>
      </c>
      <c r="Q16" s="11">
        <v>2</v>
      </c>
      <c r="R16" s="9" t="s">
        <v>98</v>
      </c>
      <c r="S16" s="11">
        <f t="shared" si="0"/>
        <v>325</v>
      </c>
      <c r="T16" s="11">
        <v>500</v>
      </c>
      <c r="U16" s="12">
        <f t="shared" si="1"/>
        <v>425</v>
      </c>
      <c r="V16" s="11">
        <f t="shared" si="2"/>
        <v>100</v>
      </c>
      <c r="W16" s="13">
        <v>35.270000000000003</v>
      </c>
      <c r="X16" s="14">
        <f t="shared" si="3"/>
        <v>212.5</v>
      </c>
      <c r="Y16" s="13">
        <f t="shared" si="4"/>
        <v>9.2146299971647281</v>
      </c>
      <c r="Z16" s="11">
        <v>50</v>
      </c>
      <c r="AA16" s="18">
        <v>14.3</v>
      </c>
      <c r="AB16" s="16">
        <f t="shared" si="5"/>
        <v>29</v>
      </c>
      <c r="AC16" s="16" t="s">
        <v>109</v>
      </c>
      <c r="AD16" s="17">
        <v>1.33</v>
      </c>
      <c r="AE16" s="17">
        <v>1.86</v>
      </c>
      <c r="AF16" s="11">
        <v>2024</v>
      </c>
      <c r="AG16" s="11">
        <v>6743</v>
      </c>
      <c r="AH16" s="11">
        <v>2</v>
      </c>
      <c r="AI16" s="11">
        <v>3</v>
      </c>
      <c r="AJ16" s="11">
        <v>2</v>
      </c>
      <c r="AK16" s="11">
        <v>3.5</v>
      </c>
      <c r="AL16" s="11"/>
      <c r="AM16" s="11">
        <v>733</v>
      </c>
      <c r="AN16" s="11"/>
      <c r="AO16" s="14">
        <f t="shared" si="9"/>
        <v>4942619</v>
      </c>
      <c r="AP16" s="53">
        <v>60938815</v>
      </c>
      <c r="AQ16" s="14">
        <v>10114500</v>
      </c>
      <c r="AR16" s="19"/>
      <c r="AS16" s="19">
        <v>-310900</v>
      </c>
      <c r="AT16" s="19">
        <v>898800</v>
      </c>
      <c r="AU16" s="19">
        <v>28133900</v>
      </c>
      <c r="AV16" s="20">
        <f t="shared" si="6"/>
        <v>103582.82769230769</v>
      </c>
      <c r="AY16" s="80">
        <f t="shared" si="7"/>
        <v>898800</v>
      </c>
      <c r="AZ16" s="80">
        <f t="shared" si="8"/>
        <v>133.29378614859854</v>
      </c>
    </row>
    <row r="17" spans="1:52">
      <c r="B17" s="9" t="s">
        <v>110</v>
      </c>
      <c r="C17" s="36">
        <v>48</v>
      </c>
      <c r="D17" s="29">
        <v>46</v>
      </c>
      <c r="E17" s="29">
        <v>42</v>
      </c>
      <c r="F17" s="29">
        <v>35</v>
      </c>
      <c r="G17" s="29">
        <v>35</v>
      </c>
      <c r="H17" s="29">
        <v>35</v>
      </c>
      <c r="I17" s="28">
        <v>29</v>
      </c>
      <c r="J17" s="28">
        <v>30</v>
      </c>
      <c r="K17" s="28">
        <v>29</v>
      </c>
      <c r="L17" s="28">
        <v>29</v>
      </c>
      <c r="M17" s="28">
        <v>27</v>
      </c>
      <c r="N17" s="9" t="s">
        <v>93</v>
      </c>
      <c r="O17" s="9" t="s">
        <v>38</v>
      </c>
      <c r="P17" s="10" t="s">
        <v>6</v>
      </c>
      <c r="Q17" s="11">
        <v>1</v>
      </c>
      <c r="R17" s="9" t="s">
        <v>98</v>
      </c>
      <c r="S17" s="11">
        <f t="shared" si="0"/>
        <v>48</v>
      </c>
      <c r="T17" s="11">
        <v>80</v>
      </c>
      <c r="U17" s="12">
        <f t="shared" si="1"/>
        <v>68</v>
      </c>
      <c r="V17" s="11">
        <f t="shared" si="2"/>
        <v>20</v>
      </c>
      <c r="W17" s="13">
        <v>8.5399999999999991</v>
      </c>
      <c r="X17" s="14">
        <f t="shared" si="3"/>
        <v>68</v>
      </c>
      <c r="Y17" s="13">
        <f t="shared" si="4"/>
        <v>5.6206088992974248</v>
      </c>
      <c r="Z17" s="11">
        <v>13</v>
      </c>
      <c r="AA17" s="15">
        <v>14.6</v>
      </c>
      <c r="AB17" s="16">
        <f t="shared" si="5"/>
        <v>183</v>
      </c>
      <c r="AC17" s="16" t="s">
        <v>111</v>
      </c>
      <c r="AD17" s="17" t="s">
        <v>96</v>
      </c>
      <c r="AE17" s="17" t="s">
        <v>96</v>
      </c>
      <c r="AF17" s="11">
        <v>2026</v>
      </c>
      <c r="AG17" s="11">
        <v>4814</v>
      </c>
      <c r="AH17" s="11"/>
      <c r="AI17" s="11"/>
      <c r="AJ17" s="11"/>
      <c r="AK17" s="11" t="s">
        <v>112</v>
      </c>
      <c r="AL17" s="11"/>
      <c r="AM17" s="11">
        <v>723</v>
      </c>
      <c r="AN17" s="11"/>
      <c r="AO17" s="14">
        <f t="shared" si="9"/>
        <v>3480522</v>
      </c>
      <c r="AP17" s="53">
        <v>59116004</v>
      </c>
      <c r="AQ17" s="14">
        <v>7221000</v>
      </c>
      <c r="AR17" s="19"/>
      <c r="AS17" s="19">
        <v>-42500</v>
      </c>
      <c r="AT17" s="19">
        <v>306200</v>
      </c>
      <c r="AU17" s="19">
        <v>6353900</v>
      </c>
      <c r="AV17" s="20">
        <f t="shared" si="6"/>
        <v>210377.54166666666</v>
      </c>
      <c r="AY17" s="80">
        <f t="shared" si="7"/>
        <v>306200</v>
      </c>
      <c r="AZ17" s="80">
        <f t="shared" si="8"/>
        <v>63.606148732862486</v>
      </c>
    </row>
    <row r="18" spans="1:52">
      <c r="B18" s="9" t="s">
        <v>103</v>
      </c>
      <c r="C18" s="9">
        <v>228</v>
      </c>
      <c r="D18" s="33">
        <v>230</v>
      </c>
      <c r="E18" s="33">
        <v>236</v>
      </c>
      <c r="F18" s="33">
        <v>243</v>
      </c>
      <c r="G18" s="33">
        <v>249</v>
      </c>
      <c r="H18" s="33">
        <v>254</v>
      </c>
      <c r="I18" s="33">
        <f>250+20</f>
        <v>270</v>
      </c>
      <c r="J18" s="33">
        <f>266+7</f>
        <v>273</v>
      </c>
      <c r="K18" s="33">
        <f>260+20</f>
        <v>280</v>
      </c>
      <c r="L18" s="33">
        <f>270+20</f>
        <v>290</v>
      </c>
      <c r="M18" s="33">
        <f>274+30</f>
        <v>304</v>
      </c>
      <c r="N18" s="9" t="s">
        <v>93</v>
      </c>
      <c r="O18" s="9" t="s">
        <v>113</v>
      </c>
      <c r="P18" s="11" t="s">
        <v>11</v>
      </c>
      <c r="Q18" s="11">
        <v>2</v>
      </c>
      <c r="R18" s="9" t="s">
        <v>98</v>
      </c>
      <c r="S18" s="11">
        <f t="shared" si="0"/>
        <v>228</v>
      </c>
      <c r="T18" s="49">
        <v>400</v>
      </c>
      <c r="U18" s="49">
        <f t="shared" si="1"/>
        <v>340</v>
      </c>
      <c r="V18" s="11">
        <f t="shared" si="2"/>
        <v>112</v>
      </c>
      <c r="W18" s="13">
        <v>22.78</v>
      </c>
      <c r="X18" s="14">
        <f t="shared" si="3"/>
        <v>170</v>
      </c>
      <c r="Y18" s="13">
        <f t="shared" si="4"/>
        <v>10.008779631255488</v>
      </c>
      <c r="Z18" s="11">
        <v>29</v>
      </c>
      <c r="AA18" s="18">
        <v>12</v>
      </c>
      <c r="AB18" s="16">
        <f t="shared" si="5"/>
        <v>30</v>
      </c>
      <c r="AC18" s="16" t="s">
        <v>114</v>
      </c>
      <c r="AD18" s="17" t="s">
        <v>96</v>
      </c>
      <c r="AE18" s="17" t="s">
        <v>96</v>
      </c>
      <c r="AF18" s="11">
        <v>2029</v>
      </c>
      <c r="AG18" s="11">
        <v>2758</v>
      </c>
      <c r="AH18" s="11"/>
      <c r="AI18" s="11"/>
      <c r="AJ18" s="11"/>
      <c r="AK18" s="11" t="s">
        <v>115</v>
      </c>
      <c r="AL18" s="11"/>
      <c r="AM18" s="11">
        <v>700</v>
      </c>
      <c r="AN18" s="11"/>
      <c r="AO18" s="14">
        <f t="shared" si="9"/>
        <v>1930600</v>
      </c>
      <c r="AP18" s="53">
        <v>5000225</v>
      </c>
      <c r="AQ18" s="14"/>
      <c r="AR18" s="19"/>
      <c r="AS18" s="19">
        <v>-210000</v>
      </c>
      <c r="AT18" s="19">
        <v>562900</v>
      </c>
      <c r="AU18" s="19">
        <v>17380300</v>
      </c>
      <c r="AV18" s="20">
        <f t="shared" si="6"/>
        <v>86244.736842105267</v>
      </c>
      <c r="AY18" s="80">
        <f t="shared" si="7"/>
        <v>562900</v>
      </c>
      <c r="AZ18" s="80">
        <f t="shared" si="8"/>
        <v>204.09717186366933</v>
      </c>
    </row>
    <row r="19" spans="1:52">
      <c r="B19" s="9" t="s">
        <v>103</v>
      </c>
      <c r="C19" s="9">
        <v>390</v>
      </c>
      <c r="D19" s="29">
        <v>399</v>
      </c>
      <c r="E19" s="29">
        <v>386</v>
      </c>
      <c r="F19" s="29">
        <v>375</v>
      </c>
      <c r="G19" s="29">
        <v>375</v>
      </c>
      <c r="H19" s="29">
        <v>360</v>
      </c>
      <c r="I19" s="28">
        <v>353</v>
      </c>
      <c r="J19" s="28">
        <v>344</v>
      </c>
      <c r="K19" s="28">
        <v>340</v>
      </c>
      <c r="L19" s="28">
        <v>330</v>
      </c>
      <c r="M19" s="28">
        <f>320</f>
        <v>320</v>
      </c>
      <c r="N19" s="9" t="s">
        <v>93</v>
      </c>
      <c r="O19" s="9" t="s">
        <v>18</v>
      </c>
      <c r="P19" s="11" t="s">
        <v>11</v>
      </c>
      <c r="Q19" s="11">
        <v>3</v>
      </c>
      <c r="R19" s="9" t="s">
        <v>98</v>
      </c>
      <c r="S19" s="11">
        <f t="shared" si="0"/>
        <v>390</v>
      </c>
      <c r="T19" s="11">
        <v>575</v>
      </c>
      <c r="U19" s="12">
        <f t="shared" si="1"/>
        <v>489</v>
      </c>
      <c r="V19" s="11">
        <f t="shared" si="2"/>
        <v>99</v>
      </c>
      <c r="W19" s="13">
        <v>43.05</v>
      </c>
      <c r="X19" s="14">
        <f t="shared" si="3"/>
        <v>163</v>
      </c>
      <c r="Y19" s="13">
        <f t="shared" si="4"/>
        <v>9.0592334494773521</v>
      </c>
      <c r="Z19" s="11">
        <v>58</v>
      </c>
      <c r="AA19" s="18">
        <v>21</v>
      </c>
      <c r="AB19" s="16">
        <f t="shared" si="5"/>
        <v>37</v>
      </c>
      <c r="AC19" s="16" t="s">
        <v>116</v>
      </c>
      <c r="AD19" s="17">
        <v>1.29</v>
      </c>
      <c r="AE19" s="17">
        <v>2.57</v>
      </c>
      <c r="AF19" s="11">
        <v>2022</v>
      </c>
      <c r="AG19" s="11">
        <v>6796</v>
      </c>
      <c r="AH19" s="11">
        <v>3</v>
      </c>
      <c r="AI19" s="11">
        <v>3</v>
      </c>
      <c r="AJ19" s="11">
        <v>2</v>
      </c>
      <c r="AK19" s="11">
        <v>3</v>
      </c>
      <c r="AL19" s="11"/>
      <c r="AM19" s="11">
        <v>733</v>
      </c>
      <c r="AN19" s="11"/>
      <c r="AO19" s="14">
        <f t="shared" si="9"/>
        <v>4981468</v>
      </c>
      <c r="AP19" s="53">
        <v>145648950</v>
      </c>
      <c r="AQ19" s="14">
        <v>10194000</v>
      </c>
      <c r="AR19" s="19"/>
      <c r="AS19" s="19">
        <v>-1975200</v>
      </c>
      <c r="AT19" s="19">
        <v>1093000</v>
      </c>
      <c r="AU19" s="19">
        <v>35619500</v>
      </c>
      <c r="AV19" s="20">
        <f t="shared" si="6"/>
        <v>101842.99487179487</v>
      </c>
      <c r="AY19" s="80">
        <f t="shared" si="7"/>
        <v>1093000</v>
      </c>
      <c r="AZ19" s="80">
        <f t="shared" si="8"/>
        <v>160.82989994114186</v>
      </c>
    </row>
    <row r="20" spans="1:52">
      <c r="B20" s="9" t="s">
        <v>92</v>
      </c>
      <c r="C20" s="9">
        <v>91</v>
      </c>
      <c r="D20" s="28">
        <v>90</v>
      </c>
      <c r="E20" s="28">
        <v>90</v>
      </c>
      <c r="F20" s="28">
        <v>90</v>
      </c>
      <c r="G20" s="28">
        <v>90</v>
      </c>
      <c r="H20" s="28">
        <v>90</v>
      </c>
      <c r="I20" s="28">
        <v>90</v>
      </c>
      <c r="J20" s="28">
        <v>90</v>
      </c>
      <c r="K20" s="28">
        <v>90</v>
      </c>
      <c r="L20" s="28">
        <v>90</v>
      </c>
      <c r="M20" s="28">
        <v>90</v>
      </c>
      <c r="N20" s="9" t="s">
        <v>93</v>
      </c>
      <c r="O20" s="9" t="s">
        <v>36</v>
      </c>
      <c r="P20" s="11" t="s">
        <v>14</v>
      </c>
      <c r="Q20" s="11">
        <v>2</v>
      </c>
      <c r="R20" s="9" t="s">
        <v>94</v>
      </c>
      <c r="S20" s="11">
        <f t="shared" si="0"/>
        <v>91</v>
      </c>
      <c r="T20" s="11">
        <v>89</v>
      </c>
      <c r="U20" s="12">
        <f t="shared" si="1"/>
        <v>76</v>
      </c>
      <c r="V20" s="11">
        <f t="shared" si="2"/>
        <v>-15</v>
      </c>
      <c r="W20" s="13"/>
      <c r="X20" s="14">
        <f t="shared" si="3"/>
        <v>38</v>
      </c>
      <c r="Y20" s="13"/>
      <c r="Z20" s="11"/>
      <c r="AA20" s="18"/>
      <c r="AB20" s="16">
        <f t="shared" si="5"/>
        <v>0</v>
      </c>
      <c r="AC20" s="16" t="s">
        <v>117</v>
      </c>
      <c r="AD20" s="17" t="s">
        <v>96</v>
      </c>
      <c r="AE20" s="17" t="s">
        <v>96</v>
      </c>
      <c r="AF20" s="11" t="s">
        <v>118</v>
      </c>
      <c r="AG20" s="11" t="s">
        <v>118</v>
      </c>
      <c r="AH20" s="11"/>
      <c r="AI20" s="11"/>
      <c r="AJ20" s="11"/>
      <c r="AK20" s="11"/>
      <c r="AL20" s="11"/>
      <c r="AM20" s="11" t="s">
        <v>118</v>
      </c>
      <c r="AN20" s="11"/>
      <c r="AO20" s="14"/>
      <c r="AP20" s="53"/>
      <c r="AQ20" s="14"/>
      <c r="AR20" s="19"/>
      <c r="AS20" s="19"/>
      <c r="AT20" s="19"/>
      <c r="AU20" s="19"/>
      <c r="AV20" s="20">
        <f t="shared" si="6"/>
        <v>0</v>
      </c>
      <c r="AY20" s="80"/>
      <c r="AZ20" s="80"/>
    </row>
    <row r="21" spans="1:52">
      <c r="B21" s="9" t="s">
        <v>119</v>
      </c>
      <c r="C21" s="9">
        <v>441</v>
      </c>
      <c r="D21" s="29">
        <v>439</v>
      </c>
      <c r="E21" s="29">
        <v>430</v>
      </c>
      <c r="F21" s="29">
        <v>421</v>
      </c>
      <c r="G21" s="29">
        <v>420</v>
      </c>
      <c r="H21" s="29">
        <v>400</v>
      </c>
      <c r="I21" s="28">
        <v>380</v>
      </c>
      <c r="J21" s="28">
        <f>360+7</f>
        <v>367</v>
      </c>
      <c r="K21" s="28">
        <v>358</v>
      </c>
      <c r="L21" s="28">
        <v>358</v>
      </c>
      <c r="M21" s="28">
        <f>354+5</f>
        <v>359</v>
      </c>
      <c r="N21" s="9" t="s">
        <v>93</v>
      </c>
      <c r="O21" s="9" t="s">
        <v>27</v>
      </c>
      <c r="P21" s="10" t="s">
        <v>6</v>
      </c>
      <c r="Q21" s="11">
        <v>2</v>
      </c>
      <c r="R21" s="9" t="s">
        <v>98</v>
      </c>
      <c r="S21" s="11">
        <f t="shared" si="0"/>
        <v>441</v>
      </c>
      <c r="T21" s="11">
        <v>490</v>
      </c>
      <c r="U21" s="12">
        <f t="shared" si="1"/>
        <v>417</v>
      </c>
      <c r="V21" s="11">
        <f t="shared" si="2"/>
        <v>-24</v>
      </c>
      <c r="W21" s="13">
        <v>43.33</v>
      </c>
      <c r="X21" s="14">
        <f t="shared" si="3"/>
        <v>208.5</v>
      </c>
      <c r="Y21" s="13">
        <f t="shared" ref="Y21:Y26" si="10">S21/W21</f>
        <v>10.177705977382876</v>
      </c>
      <c r="Z21" s="11">
        <v>54</v>
      </c>
      <c r="AA21" s="18">
        <v>17.600000000000001</v>
      </c>
      <c r="AB21" s="16">
        <f t="shared" si="5"/>
        <v>36</v>
      </c>
      <c r="AC21" s="16" t="s">
        <v>120</v>
      </c>
      <c r="AD21" s="17">
        <v>1.1599999999999999</v>
      </c>
      <c r="AE21" s="17">
        <v>1.5</v>
      </c>
      <c r="AF21" s="11">
        <v>2023</v>
      </c>
      <c r="AG21" s="11">
        <v>6479</v>
      </c>
      <c r="AH21" s="11">
        <v>2</v>
      </c>
      <c r="AI21" s="11">
        <v>2</v>
      </c>
      <c r="AJ21" s="11">
        <v>4</v>
      </c>
      <c r="AK21" s="11">
        <v>3</v>
      </c>
      <c r="AL21" s="11"/>
      <c r="AM21" s="11">
        <v>733</v>
      </c>
      <c r="AN21" s="11"/>
      <c r="AO21" s="14">
        <f t="shared" si="9"/>
        <v>4749107</v>
      </c>
      <c r="AP21" s="53">
        <v>260821624</v>
      </c>
      <c r="AQ21" s="14">
        <v>6618500</v>
      </c>
      <c r="AR21" s="19"/>
      <c r="AS21" s="19">
        <v>-485200</v>
      </c>
      <c r="AT21" s="19">
        <v>1093900</v>
      </c>
      <c r="AU21" s="19">
        <v>34890400</v>
      </c>
      <c r="AV21" s="20">
        <f t="shared" si="6"/>
        <v>91265.775510204083</v>
      </c>
      <c r="AY21" s="80">
        <f t="shared" ref="AY21:AY26" si="11">SUM(AT21:AT21)</f>
        <v>1093900</v>
      </c>
      <c r="AZ21" s="80">
        <f t="shared" si="8"/>
        <v>168.83778360858156</v>
      </c>
    </row>
    <row r="22" spans="1:52">
      <c r="B22" s="9" t="s">
        <v>121</v>
      </c>
      <c r="C22" s="9">
        <v>105</v>
      </c>
      <c r="D22" s="29">
        <v>104</v>
      </c>
      <c r="E22" s="29">
        <v>96</v>
      </c>
      <c r="F22" s="29">
        <v>100</v>
      </c>
      <c r="G22" s="29">
        <v>98</v>
      </c>
      <c r="H22" s="29">
        <v>94</v>
      </c>
      <c r="I22" s="28">
        <v>90</v>
      </c>
      <c r="J22" s="28">
        <v>88</v>
      </c>
      <c r="K22" s="28">
        <v>85</v>
      </c>
      <c r="L22" s="28">
        <v>82</v>
      </c>
      <c r="M22" s="28">
        <v>80</v>
      </c>
      <c r="N22" s="9" t="s">
        <v>93</v>
      </c>
      <c r="O22" s="9" t="s">
        <v>7</v>
      </c>
      <c r="P22" s="10" t="s">
        <v>6</v>
      </c>
      <c r="Q22" s="11">
        <v>1</v>
      </c>
      <c r="R22" s="9" t="s">
        <v>98</v>
      </c>
      <c r="S22" s="11">
        <f t="shared" si="0"/>
        <v>105</v>
      </c>
      <c r="T22" s="11">
        <v>250</v>
      </c>
      <c r="U22" s="12">
        <f t="shared" si="1"/>
        <v>213</v>
      </c>
      <c r="V22" s="11">
        <f t="shared" si="2"/>
        <v>108</v>
      </c>
      <c r="W22" s="13">
        <v>16.89</v>
      </c>
      <c r="X22" s="14">
        <f t="shared" si="3"/>
        <v>213</v>
      </c>
      <c r="Y22" s="13">
        <f t="shared" si="10"/>
        <v>6.2166962699822381</v>
      </c>
      <c r="Z22" s="11">
        <v>22</v>
      </c>
      <c r="AA22" s="15">
        <v>11.5</v>
      </c>
      <c r="AB22" s="16">
        <f t="shared" si="5"/>
        <v>46</v>
      </c>
      <c r="AC22" s="16">
        <v>1988</v>
      </c>
      <c r="AD22" s="17">
        <v>1.2</v>
      </c>
      <c r="AE22" s="17">
        <v>2</v>
      </c>
      <c r="AF22" s="11">
        <v>2022</v>
      </c>
      <c r="AG22" s="11">
        <f>1306+1553</f>
        <v>2859</v>
      </c>
      <c r="AH22" s="11">
        <v>3</v>
      </c>
      <c r="AI22" s="11">
        <v>2</v>
      </c>
      <c r="AJ22" s="11">
        <v>3</v>
      </c>
      <c r="AK22" s="11">
        <v>3</v>
      </c>
      <c r="AL22" s="11"/>
      <c r="AM22" s="11">
        <v>733</v>
      </c>
      <c r="AN22" s="11"/>
      <c r="AO22" s="14">
        <f t="shared" si="9"/>
        <v>2095647</v>
      </c>
      <c r="AP22" s="53">
        <v>109557126</v>
      </c>
      <c r="AQ22" s="14">
        <v>4288500</v>
      </c>
      <c r="AR22" s="19"/>
      <c r="AS22" s="19">
        <v>-83000</v>
      </c>
      <c r="AT22" s="19">
        <v>658900</v>
      </c>
      <c r="AU22" s="19">
        <v>13298000</v>
      </c>
      <c r="AV22" s="20">
        <f t="shared" si="6"/>
        <v>152090.92380952381</v>
      </c>
      <c r="AY22" s="80">
        <f t="shared" si="11"/>
        <v>658900</v>
      </c>
      <c r="AZ22" s="80">
        <f t="shared" si="8"/>
        <v>230.465197621546</v>
      </c>
    </row>
    <row r="23" spans="1:52">
      <c r="B23" s="9" t="s">
        <v>119</v>
      </c>
      <c r="C23" s="9">
        <v>722</v>
      </c>
      <c r="D23" s="29">
        <v>668</v>
      </c>
      <c r="E23" s="29">
        <v>635</v>
      </c>
      <c r="F23" s="29">
        <v>620</v>
      </c>
      <c r="G23" s="29">
        <v>605</v>
      </c>
      <c r="H23" s="29">
        <f>561+20</f>
        <v>581</v>
      </c>
      <c r="I23" s="28">
        <f>555+6</f>
        <v>561</v>
      </c>
      <c r="J23" s="28">
        <v>531</v>
      </c>
      <c r="K23" s="28">
        <f>517+10</f>
        <v>527</v>
      </c>
      <c r="L23" s="28">
        <v>517</v>
      </c>
      <c r="M23" s="28">
        <f>512+10</f>
        <v>522</v>
      </c>
      <c r="N23" s="9" t="s">
        <v>93</v>
      </c>
      <c r="O23" s="9" t="s">
        <v>28</v>
      </c>
      <c r="P23" s="10" t="s">
        <v>6</v>
      </c>
      <c r="Q23" s="11">
        <v>3</v>
      </c>
      <c r="R23" s="9" t="s">
        <v>98</v>
      </c>
      <c r="S23" s="11">
        <f t="shared" si="0"/>
        <v>722</v>
      </c>
      <c r="T23" s="11">
        <v>800</v>
      </c>
      <c r="U23" s="12">
        <f t="shared" si="1"/>
        <v>680</v>
      </c>
      <c r="V23" s="11">
        <f t="shared" si="2"/>
        <v>-42</v>
      </c>
      <c r="W23" s="13">
        <v>78.02</v>
      </c>
      <c r="X23" s="14">
        <f t="shared" si="3"/>
        <v>226.66666666666666</v>
      </c>
      <c r="Y23" s="13">
        <f t="shared" si="10"/>
        <v>9.2540374263009486</v>
      </c>
      <c r="Z23" s="11">
        <v>102</v>
      </c>
      <c r="AA23" s="18">
        <v>29.5</v>
      </c>
      <c r="AB23" s="16">
        <f t="shared" si="5"/>
        <v>37</v>
      </c>
      <c r="AC23" s="16" t="s">
        <v>122</v>
      </c>
      <c r="AD23" s="17">
        <v>1.1299999999999999</v>
      </c>
      <c r="AE23" s="17">
        <v>1.54</v>
      </c>
      <c r="AF23" s="11">
        <v>2025</v>
      </c>
      <c r="AG23" s="11">
        <v>12619</v>
      </c>
      <c r="AH23" s="11">
        <v>2.5</v>
      </c>
      <c r="AI23" s="11">
        <v>2.5</v>
      </c>
      <c r="AJ23" s="11">
        <v>2.5</v>
      </c>
      <c r="AK23" s="11">
        <v>2.5</v>
      </c>
      <c r="AL23" s="11"/>
      <c r="AM23" s="11">
        <v>733</v>
      </c>
      <c r="AN23" s="11"/>
      <c r="AO23" s="14">
        <f t="shared" si="9"/>
        <v>9249727</v>
      </c>
      <c r="AP23" s="53">
        <v>445917020</v>
      </c>
      <c r="AQ23" s="14">
        <v>18928500</v>
      </c>
      <c r="AR23" s="19"/>
      <c r="AS23" s="19">
        <v>-1059400</v>
      </c>
      <c r="AT23" s="19">
        <v>2005800</v>
      </c>
      <c r="AU23" s="19">
        <v>60610100</v>
      </c>
      <c r="AV23" s="20">
        <f t="shared" si="6"/>
        <v>98069.566481994465</v>
      </c>
      <c r="AY23" s="80">
        <f t="shared" si="11"/>
        <v>2005800</v>
      </c>
      <c r="AZ23" s="80">
        <f t="shared" si="8"/>
        <v>158.95078849354149</v>
      </c>
    </row>
    <row r="24" spans="1:52">
      <c r="B24" s="9" t="s">
        <v>108</v>
      </c>
      <c r="C24" s="36">
        <v>94</v>
      </c>
      <c r="D24" s="29">
        <v>91</v>
      </c>
      <c r="E24" s="29">
        <v>82</v>
      </c>
      <c r="F24" s="29">
        <v>77</v>
      </c>
      <c r="G24" s="29">
        <v>69</v>
      </c>
      <c r="H24" s="29">
        <v>58</v>
      </c>
      <c r="I24" s="28">
        <v>55</v>
      </c>
      <c r="J24" s="28">
        <v>53</v>
      </c>
      <c r="K24" s="28">
        <v>52</v>
      </c>
      <c r="L24" s="28">
        <v>61</v>
      </c>
      <c r="M24" s="28">
        <v>60</v>
      </c>
      <c r="N24" s="9" t="s">
        <v>93</v>
      </c>
      <c r="O24" s="9" t="s">
        <v>123</v>
      </c>
      <c r="P24" s="11" t="s">
        <v>11</v>
      </c>
      <c r="Q24" s="11">
        <v>1</v>
      </c>
      <c r="R24" s="9" t="s">
        <v>98</v>
      </c>
      <c r="S24" s="11">
        <f t="shared" si="0"/>
        <v>94</v>
      </c>
      <c r="T24" s="11">
        <v>165</v>
      </c>
      <c r="U24" s="12">
        <f t="shared" si="1"/>
        <v>140</v>
      </c>
      <c r="V24" s="11">
        <f t="shared" si="2"/>
        <v>46</v>
      </c>
      <c r="W24" s="13">
        <v>10.53</v>
      </c>
      <c r="X24" s="14">
        <f t="shared" si="3"/>
        <v>140</v>
      </c>
      <c r="Y24" s="13">
        <f t="shared" si="10"/>
        <v>8.9268755935422615</v>
      </c>
      <c r="Z24" s="11">
        <v>16</v>
      </c>
      <c r="AA24" s="18">
        <v>10</v>
      </c>
      <c r="AB24" s="16">
        <f t="shared" si="5"/>
        <v>61</v>
      </c>
      <c r="AC24" s="16">
        <v>1927</v>
      </c>
      <c r="AD24" s="17">
        <v>1.04</v>
      </c>
      <c r="AE24" s="17">
        <v>1.71</v>
      </c>
      <c r="AF24" s="11">
        <v>2025</v>
      </c>
      <c r="AG24" s="11">
        <v>1886</v>
      </c>
      <c r="AH24" s="11">
        <v>4</v>
      </c>
      <c r="AI24" s="11">
        <v>3</v>
      </c>
      <c r="AJ24" s="11">
        <v>3</v>
      </c>
      <c r="AK24" s="11">
        <v>3</v>
      </c>
      <c r="AL24" s="11"/>
      <c r="AM24" s="11">
        <v>720</v>
      </c>
      <c r="AN24" s="11"/>
      <c r="AO24" s="14">
        <f t="shared" si="9"/>
        <v>1357920</v>
      </c>
      <c r="AP24" s="53">
        <v>40093317</v>
      </c>
      <c r="AQ24" s="14">
        <v>2829000</v>
      </c>
      <c r="AR24" s="19"/>
      <c r="AS24" s="19">
        <v>-45000</v>
      </c>
      <c r="AT24" s="19">
        <v>325200</v>
      </c>
      <c r="AU24" s="19">
        <v>8262400</v>
      </c>
      <c r="AV24" s="20">
        <f t="shared" si="6"/>
        <v>105324.68085106384</v>
      </c>
      <c r="AY24" s="80">
        <f t="shared" si="11"/>
        <v>325200</v>
      </c>
      <c r="AZ24" s="80">
        <f t="shared" si="8"/>
        <v>172.42841993637327</v>
      </c>
    </row>
    <row r="25" spans="1:52">
      <c r="B25" s="9" t="s">
        <v>110</v>
      </c>
      <c r="C25" s="9">
        <v>28</v>
      </c>
      <c r="D25" s="29">
        <v>31</v>
      </c>
      <c r="E25" s="29">
        <v>27</v>
      </c>
      <c r="F25" s="29">
        <v>33</v>
      </c>
      <c r="G25" s="29">
        <v>35</v>
      </c>
      <c r="H25" s="29">
        <v>38</v>
      </c>
      <c r="I25" s="28">
        <v>38</v>
      </c>
      <c r="J25" s="28">
        <v>42</v>
      </c>
      <c r="K25" s="28">
        <v>42</v>
      </c>
      <c r="L25" s="28">
        <v>42</v>
      </c>
      <c r="M25" s="28">
        <v>43</v>
      </c>
      <c r="N25" s="9" t="s">
        <v>93</v>
      </c>
      <c r="O25" s="9" t="s">
        <v>39</v>
      </c>
      <c r="P25" s="10" t="s">
        <v>6</v>
      </c>
      <c r="Q25" s="11">
        <v>1</v>
      </c>
      <c r="R25" s="9" t="s">
        <v>98</v>
      </c>
      <c r="S25" s="11">
        <f t="shared" si="0"/>
        <v>28</v>
      </c>
      <c r="T25" s="11">
        <v>100</v>
      </c>
      <c r="U25" s="12">
        <f t="shared" si="1"/>
        <v>85</v>
      </c>
      <c r="V25" s="11">
        <f t="shared" si="2"/>
        <v>57</v>
      </c>
      <c r="W25" s="13">
        <v>5.81</v>
      </c>
      <c r="X25" s="14">
        <f t="shared" si="3"/>
        <v>85</v>
      </c>
      <c r="Y25" s="13">
        <f t="shared" si="10"/>
        <v>4.8192771084337354</v>
      </c>
      <c r="Z25" s="11">
        <v>8</v>
      </c>
      <c r="AA25" s="18">
        <v>14</v>
      </c>
      <c r="AB25" s="16">
        <f t="shared" si="5"/>
        <v>140</v>
      </c>
      <c r="AC25" s="16" t="s">
        <v>124</v>
      </c>
      <c r="AD25" s="17">
        <v>1.1000000000000001</v>
      </c>
      <c r="AE25" s="17">
        <v>2.62</v>
      </c>
      <c r="AF25" s="11">
        <v>2025</v>
      </c>
      <c r="AG25" s="11">
        <v>1200</v>
      </c>
      <c r="AH25" s="11">
        <v>4</v>
      </c>
      <c r="AI25" s="11">
        <v>3.5</v>
      </c>
      <c r="AJ25" s="11">
        <v>3</v>
      </c>
      <c r="AK25" s="11">
        <v>4</v>
      </c>
      <c r="AL25" s="11"/>
      <c r="AM25" s="11">
        <v>770</v>
      </c>
      <c r="AN25" s="11"/>
      <c r="AO25" s="14">
        <f t="shared" si="9"/>
        <v>924000</v>
      </c>
      <c r="AP25" s="53">
        <v>70722344</v>
      </c>
      <c r="AQ25" s="14">
        <v>1800000</v>
      </c>
      <c r="AR25" s="19"/>
      <c r="AS25" s="19">
        <v>-169700</v>
      </c>
      <c r="AT25" s="19">
        <v>296300</v>
      </c>
      <c r="AU25" s="19">
        <v>4944700</v>
      </c>
      <c r="AV25" s="20">
        <f t="shared" si="6"/>
        <v>214117.85714285713</v>
      </c>
      <c r="AY25" s="80">
        <f t="shared" si="11"/>
        <v>296300</v>
      </c>
      <c r="AZ25" s="80">
        <f t="shared" si="8"/>
        <v>246.91666666666666</v>
      </c>
    </row>
    <row r="26" spans="1:52">
      <c r="B26" s="9" t="s">
        <v>125</v>
      </c>
      <c r="C26" s="9">
        <v>14</v>
      </c>
      <c r="D26" s="29">
        <v>12</v>
      </c>
      <c r="E26" s="29">
        <v>11</v>
      </c>
      <c r="F26" s="29">
        <v>11</v>
      </c>
      <c r="G26" s="29">
        <v>10</v>
      </c>
      <c r="H26" s="29">
        <v>13</v>
      </c>
      <c r="I26" s="28">
        <v>12</v>
      </c>
      <c r="J26" s="28">
        <v>12</v>
      </c>
      <c r="K26" s="28">
        <v>11</v>
      </c>
      <c r="L26" s="28">
        <v>11</v>
      </c>
      <c r="M26" s="28">
        <v>10</v>
      </c>
      <c r="N26" s="9" t="s">
        <v>93</v>
      </c>
      <c r="O26" s="9" t="s">
        <v>41</v>
      </c>
      <c r="P26" s="10" t="s">
        <v>6</v>
      </c>
      <c r="Q26" s="11">
        <v>1</v>
      </c>
      <c r="R26" s="9" t="s">
        <v>98</v>
      </c>
      <c r="S26" s="11">
        <f t="shared" si="0"/>
        <v>14</v>
      </c>
      <c r="T26" s="11">
        <v>25</v>
      </c>
      <c r="U26" s="12">
        <f t="shared" si="1"/>
        <v>21</v>
      </c>
      <c r="V26" s="11">
        <f t="shared" si="2"/>
        <v>7</v>
      </c>
      <c r="W26" s="13">
        <v>4.26</v>
      </c>
      <c r="X26" s="14">
        <f t="shared" si="3"/>
        <v>21</v>
      </c>
      <c r="Y26" s="13">
        <f t="shared" si="10"/>
        <v>3.286384976525822</v>
      </c>
      <c r="Z26" s="11">
        <v>8</v>
      </c>
      <c r="AA26" s="18"/>
      <c r="AB26" s="16">
        <f t="shared" si="5"/>
        <v>0</v>
      </c>
      <c r="AC26" s="16">
        <v>1960</v>
      </c>
      <c r="AD26" s="17">
        <v>1.1000000000000001</v>
      </c>
      <c r="AE26" s="17">
        <v>2.0699999999999998</v>
      </c>
      <c r="AF26" s="11">
        <v>2028</v>
      </c>
      <c r="AG26" s="11">
        <v>877</v>
      </c>
      <c r="AH26" s="11">
        <v>3</v>
      </c>
      <c r="AI26" s="11">
        <v>3</v>
      </c>
      <c r="AJ26" s="11">
        <v>4</v>
      </c>
      <c r="AK26" s="11">
        <v>3.5</v>
      </c>
      <c r="AL26" s="11"/>
      <c r="AM26" s="11">
        <v>733</v>
      </c>
      <c r="AN26" s="11"/>
      <c r="AO26" s="14">
        <f t="shared" si="9"/>
        <v>642841</v>
      </c>
      <c r="AP26" s="53">
        <v>24631849</v>
      </c>
      <c r="AQ26" s="14">
        <v>1315500</v>
      </c>
      <c r="AR26" s="19"/>
      <c r="AS26" s="19">
        <v>-34400</v>
      </c>
      <c r="AT26" s="19">
        <v>259700</v>
      </c>
      <c r="AU26" s="19">
        <v>4002000</v>
      </c>
      <c r="AV26" s="20">
        <f t="shared" si="6"/>
        <v>347867.21428571426</v>
      </c>
      <c r="AY26" s="80">
        <f t="shared" si="11"/>
        <v>259700</v>
      </c>
      <c r="AZ26" s="80">
        <f t="shared" si="8"/>
        <v>296.12314709236034</v>
      </c>
    </row>
    <row r="27" spans="1:52">
      <c r="B27" s="54" t="s">
        <v>92</v>
      </c>
      <c r="C27" s="54">
        <v>82</v>
      </c>
      <c r="D27" s="55">
        <v>80</v>
      </c>
      <c r="E27" s="55">
        <v>80</v>
      </c>
      <c r="F27" s="55">
        <v>80</v>
      </c>
      <c r="G27" s="55">
        <v>80</v>
      </c>
      <c r="H27" s="55">
        <v>80</v>
      </c>
      <c r="I27" s="55">
        <v>80</v>
      </c>
      <c r="J27" s="55">
        <v>80</v>
      </c>
      <c r="K27" s="55">
        <v>80</v>
      </c>
      <c r="L27" s="55">
        <v>80</v>
      </c>
      <c r="M27" s="55">
        <v>80</v>
      </c>
      <c r="N27" s="54" t="s">
        <v>93</v>
      </c>
      <c r="O27" s="54" t="s">
        <v>30</v>
      </c>
      <c r="P27" s="56" t="s">
        <v>6</v>
      </c>
      <c r="Q27" s="57">
        <v>1</v>
      </c>
      <c r="R27" s="54" t="s">
        <v>98</v>
      </c>
      <c r="S27" s="57">
        <f t="shared" si="0"/>
        <v>82</v>
      </c>
      <c r="T27" s="57">
        <v>77</v>
      </c>
      <c r="U27" s="58">
        <f t="shared" si="1"/>
        <v>65</v>
      </c>
      <c r="V27" s="57">
        <f t="shared" si="2"/>
        <v>-17</v>
      </c>
      <c r="W27" s="59"/>
      <c r="X27" s="60">
        <f t="shared" si="3"/>
        <v>65</v>
      </c>
      <c r="Y27" s="59"/>
      <c r="Z27" s="57"/>
      <c r="AA27" s="61"/>
      <c r="AB27" s="62">
        <f t="shared" si="5"/>
        <v>0</v>
      </c>
      <c r="AC27" s="62" t="s">
        <v>117</v>
      </c>
      <c r="AD27" s="63" t="s">
        <v>96</v>
      </c>
      <c r="AE27" s="63" t="s">
        <v>96</v>
      </c>
      <c r="AF27" s="57" t="s">
        <v>118</v>
      </c>
      <c r="AG27" s="57"/>
      <c r="AH27" s="57"/>
      <c r="AI27" s="57"/>
      <c r="AJ27" s="57"/>
      <c r="AK27" s="57"/>
      <c r="AL27" s="57"/>
      <c r="AM27" s="57" t="s">
        <v>118</v>
      </c>
      <c r="AN27" s="57"/>
      <c r="AO27" s="14"/>
      <c r="AP27" s="64"/>
      <c r="AQ27" s="60"/>
      <c r="AR27" s="65"/>
      <c r="AS27" s="65"/>
      <c r="AT27" s="65"/>
      <c r="AU27" s="65"/>
      <c r="AV27" s="20">
        <f t="shared" si="6"/>
        <v>0</v>
      </c>
      <c r="AY27" s="80"/>
      <c r="AZ27" s="80"/>
    </row>
    <row r="28" spans="1:52">
      <c r="B28" s="66" t="s">
        <v>121</v>
      </c>
      <c r="C28" s="66">
        <v>597</v>
      </c>
      <c r="D28" s="67">
        <v>591</v>
      </c>
      <c r="E28" s="67">
        <v>589</v>
      </c>
      <c r="F28" s="67">
        <v>571</v>
      </c>
      <c r="G28" s="67">
        <v>560</v>
      </c>
      <c r="H28" s="67">
        <f>521+18</f>
        <v>539</v>
      </c>
      <c r="I28" s="68">
        <v>523</v>
      </c>
      <c r="J28" s="68">
        <v>518</v>
      </c>
      <c r="K28" s="68">
        <v>518</v>
      </c>
      <c r="L28" s="68">
        <v>518</v>
      </c>
      <c r="M28" s="68">
        <f>518+5</f>
        <v>523</v>
      </c>
      <c r="N28" s="66" t="s">
        <v>93</v>
      </c>
      <c r="O28" s="66" t="s">
        <v>8</v>
      </c>
      <c r="P28" s="69" t="s">
        <v>6</v>
      </c>
      <c r="Q28" s="70">
        <v>3</v>
      </c>
      <c r="R28" s="66" t="s">
        <v>98</v>
      </c>
      <c r="S28" s="70">
        <f t="shared" si="0"/>
        <v>597</v>
      </c>
      <c r="T28" s="71">
        <v>750</v>
      </c>
      <c r="U28" s="71">
        <f t="shared" si="1"/>
        <v>638</v>
      </c>
      <c r="V28" s="70">
        <f t="shared" si="2"/>
        <v>41</v>
      </c>
      <c r="W28" s="72">
        <v>59.85</v>
      </c>
      <c r="X28" s="73">
        <f t="shared" si="3"/>
        <v>212.66666666666666</v>
      </c>
      <c r="Y28" s="72">
        <f>S28/W28</f>
        <v>9.9749373433583965</v>
      </c>
      <c r="Z28" s="70">
        <v>72</v>
      </c>
      <c r="AA28" s="74">
        <v>21</v>
      </c>
      <c r="AB28" s="70">
        <f t="shared" si="5"/>
        <v>28</v>
      </c>
      <c r="AC28" s="70">
        <v>2019</v>
      </c>
      <c r="AD28" s="75">
        <v>0.01</v>
      </c>
      <c r="AE28" s="75">
        <v>0.28999999999999998</v>
      </c>
      <c r="AF28" s="70">
        <v>2028</v>
      </c>
      <c r="AG28" s="70">
        <v>10210</v>
      </c>
      <c r="AH28" s="70">
        <v>4</v>
      </c>
      <c r="AI28" s="70">
        <v>4</v>
      </c>
      <c r="AJ28" s="70">
        <v>3</v>
      </c>
      <c r="AK28" s="70">
        <v>4</v>
      </c>
      <c r="AL28" s="70"/>
      <c r="AM28" s="70">
        <v>740</v>
      </c>
      <c r="AN28" s="70"/>
      <c r="AO28" s="14">
        <f t="shared" si="9"/>
        <v>7555400</v>
      </c>
      <c r="AP28" s="76">
        <v>19335290</v>
      </c>
      <c r="AQ28" s="73"/>
      <c r="AR28" s="77"/>
      <c r="AS28" s="77">
        <v>-1528300</v>
      </c>
      <c r="AT28" s="77">
        <v>2099400</v>
      </c>
      <c r="AU28" s="77">
        <v>45959600</v>
      </c>
      <c r="AV28" s="20">
        <f t="shared" si="6"/>
        <v>90596.482412060301</v>
      </c>
      <c r="AY28" s="80">
        <f>SUM(AT28:AT28)</f>
        <v>2099400</v>
      </c>
      <c r="AZ28" s="80">
        <f t="shared" si="8"/>
        <v>205.62193927522037</v>
      </c>
    </row>
    <row r="29" spans="1:52">
      <c r="B29" s="66" t="s">
        <v>92</v>
      </c>
      <c r="C29" s="66">
        <v>260</v>
      </c>
      <c r="D29" s="67">
        <v>261</v>
      </c>
      <c r="E29" s="67">
        <v>276</v>
      </c>
      <c r="F29" s="67">
        <v>281</v>
      </c>
      <c r="G29" s="67">
        <v>287</v>
      </c>
      <c r="H29" s="67">
        <v>287</v>
      </c>
      <c r="I29" s="68">
        <v>282</v>
      </c>
      <c r="J29" s="68">
        <v>281</v>
      </c>
      <c r="K29" s="68">
        <v>281</v>
      </c>
      <c r="L29" s="68">
        <v>281</v>
      </c>
      <c r="M29" s="68">
        <f>281+4</f>
        <v>285</v>
      </c>
      <c r="N29" s="66" t="s">
        <v>93</v>
      </c>
      <c r="O29" s="66" t="s">
        <v>32</v>
      </c>
      <c r="P29" s="70" t="s">
        <v>11</v>
      </c>
      <c r="Q29" s="70">
        <v>2</v>
      </c>
      <c r="R29" s="66" t="s">
        <v>98</v>
      </c>
      <c r="S29" s="70">
        <f t="shared" si="0"/>
        <v>260</v>
      </c>
      <c r="T29" s="70">
        <v>350</v>
      </c>
      <c r="U29" s="78">
        <f t="shared" si="1"/>
        <v>298</v>
      </c>
      <c r="V29" s="70">
        <f t="shared" si="2"/>
        <v>38</v>
      </c>
      <c r="W29" s="72">
        <v>29.79</v>
      </c>
      <c r="X29" s="73">
        <f t="shared" si="3"/>
        <v>149</v>
      </c>
      <c r="Y29" s="72">
        <f>S29/W29</f>
        <v>8.7277609936220202</v>
      </c>
      <c r="Z29" s="70">
        <v>38</v>
      </c>
      <c r="AA29" s="74">
        <v>18.399999999999999</v>
      </c>
      <c r="AB29" s="70">
        <f t="shared" si="5"/>
        <v>53</v>
      </c>
      <c r="AC29" s="70">
        <v>1968</v>
      </c>
      <c r="AD29" s="75">
        <v>1.08</v>
      </c>
      <c r="AE29" s="75">
        <v>1.5</v>
      </c>
      <c r="AF29" s="70">
        <v>2023</v>
      </c>
      <c r="AG29" s="70">
        <v>3330</v>
      </c>
      <c r="AH29" s="70">
        <v>1</v>
      </c>
      <c r="AI29" s="70">
        <v>1</v>
      </c>
      <c r="AJ29" s="70">
        <v>1</v>
      </c>
      <c r="AK29" s="70">
        <v>1</v>
      </c>
      <c r="AL29" s="70"/>
      <c r="AM29" s="70">
        <v>733</v>
      </c>
      <c r="AN29" s="70"/>
      <c r="AO29" s="14">
        <f t="shared" si="9"/>
        <v>2440890</v>
      </c>
      <c r="AP29" s="76">
        <v>122490001</v>
      </c>
      <c r="AQ29" s="73">
        <v>4995000</v>
      </c>
      <c r="AR29" s="77"/>
      <c r="AS29" s="77">
        <v>-342100</v>
      </c>
      <c r="AT29" s="77">
        <v>756400</v>
      </c>
      <c r="AU29" s="77">
        <v>24169600</v>
      </c>
      <c r="AV29" s="20">
        <f t="shared" si="6"/>
        <v>103941.5</v>
      </c>
      <c r="AY29" s="80">
        <f>SUM(AT29:AT29)</f>
        <v>756400</v>
      </c>
      <c r="AZ29" s="80">
        <f>AY29/AG29</f>
        <v>227.14714714714714</v>
      </c>
    </row>
    <row r="30" spans="1:52">
      <c r="A30" s="27" t="s">
        <v>126</v>
      </c>
      <c r="B30" s="48"/>
      <c r="C30" s="48">
        <f t="shared" ref="C30:M30" si="12">SUM(C6:C29)</f>
        <v>6046</v>
      </c>
      <c r="D30" s="48">
        <f t="shared" si="12"/>
        <v>5938</v>
      </c>
      <c r="E30" s="48">
        <f t="shared" si="12"/>
        <v>5799</v>
      </c>
      <c r="F30" s="48">
        <f t="shared" si="12"/>
        <v>5753</v>
      </c>
      <c r="G30" s="48">
        <f t="shared" si="12"/>
        <v>5722</v>
      </c>
      <c r="H30" s="48">
        <f t="shared" si="12"/>
        <v>5583</v>
      </c>
      <c r="I30" s="48">
        <f t="shared" si="12"/>
        <v>5530</v>
      </c>
      <c r="J30" s="48">
        <f t="shared" si="12"/>
        <v>5451</v>
      </c>
      <c r="K30" s="48">
        <f t="shared" si="12"/>
        <v>5426</v>
      </c>
      <c r="L30" s="48">
        <f t="shared" si="12"/>
        <v>5410</v>
      </c>
      <c r="M30" s="48">
        <f t="shared" si="12"/>
        <v>5448</v>
      </c>
      <c r="N30" s="35"/>
      <c r="O30" s="35"/>
      <c r="P30" s="38"/>
      <c r="Q30" s="38"/>
      <c r="R30" s="35"/>
      <c r="S30" s="38"/>
      <c r="T30" s="38"/>
      <c r="U30" s="39"/>
      <c r="V30" s="38"/>
      <c r="W30" s="40"/>
      <c r="X30" s="41"/>
      <c r="Y30" s="40"/>
      <c r="Z30" s="38"/>
      <c r="AA30" s="42"/>
      <c r="AB30" s="38"/>
      <c r="AC30" s="38"/>
      <c r="AD30" s="44"/>
      <c r="AE30" s="44"/>
      <c r="AF30" s="38"/>
      <c r="AG30" s="38"/>
      <c r="AH30" s="38"/>
      <c r="AI30" s="38"/>
      <c r="AJ30" s="38"/>
      <c r="AK30" s="38"/>
      <c r="AL30" s="38"/>
      <c r="AM30" s="38"/>
      <c r="AN30" s="38"/>
      <c r="AO30" s="45"/>
      <c r="AP30" s="40"/>
      <c r="AQ30" s="40"/>
      <c r="AR30" s="46"/>
      <c r="AS30" s="46"/>
      <c r="AT30" s="46"/>
      <c r="AU30" s="46"/>
      <c r="AV30" s="47"/>
    </row>
    <row r="32" spans="1:52">
      <c r="AO32" s="79"/>
      <c r="AV32" s="47"/>
    </row>
  </sheetData>
  <autoFilter ref="B3:AW40" xr:uid="{87B859B6-8EFE-4D16-9ED5-54EF2BB87020}">
    <sortState xmlns:xlrd2="http://schemas.microsoft.com/office/spreadsheetml/2017/richdata2" ref="B4:AW40">
      <sortCondition ref="O3:O40"/>
    </sortState>
  </autoFilter>
  <mergeCells count="1">
    <mergeCell ref="C2:M2"/>
  </mergeCells>
  <phoneticPr fontId="6" type="noConversion"/>
  <conditionalFormatting sqref="AD4:AE2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:AH2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K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:AJ2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:AK2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7:AP2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:AV3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604AC55CF44A45B379E1E22005C59B" ma:contentTypeVersion="7" ma:contentTypeDescription="Opprett et nytt dokument." ma:contentTypeScope="" ma:versionID="53f3078d23fcd66f60d858a8fe25e090">
  <xsd:schema xmlns:xsd="http://www.w3.org/2001/XMLSchema" xmlns:xs="http://www.w3.org/2001/XMLSchema" xmlns:p="http://schemas.microsoft.com/office/2006/metadata/properties" xmlns:ns2="2ae80dfe-475d-4848-9bba-625001d85912" xmlns:ns3="9b7497e0-8084-4dd0-a29b-5096955fb75b" targetNamespace="http://schemas.microsoft.com/office/2006/metadata/properties" ma:root="true" ma:fieldsID="43259b26dac610e5ee3469251e98ab90" ns2:_="" ns3:_="">
    <xsd:import namespace="2ae80dfe-475d-4848-9bba-625001d85912"/>
    <xsd:import namespace="9b7497e0-8084-4dd0-a29b-5096955fb7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80dfe-475d-4848-9bba-625001d85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497e0-8084-4dd0-a29b-5096955fb7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b7497e0-8084-4dd0-a29b-5096955fb75b">
      <UserInfo>
        <DisplayName>Ståle Ellefsen Aasjord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3C93F12-61E4-4E16-BA42-A4204D8B181A}"/>
</file>

<file path=customXml/itemProps2.xml><?xml version="1.0" encoding="utf-8"?>
<ds:datastoreItem xmlns:ds="http://schemas.openxmlformats.org/officeDocument/2006/customXml" ds:itemID="{96D0D3C0-D35C-4562-9FBB-8581F4B2C48B}"/>
</file>

<file path=customXml/itemProps3.xml><?xml version="1.0" encoding="utf-8"?>
<ds:datastoreItem xmlns:ds="http://schemas.openxmlformats.org/officeDocument/2006/customXml" ds:itemID="{EF3B012B-691A-40B8-BE4B-A06124899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Harald Sæverud</dc:creator>
  <cp:keywords/>
  <dc:description/>
  <cp:lastModifiedBy>Sidsel Eivik Madland</cp:lastModifiedBy>
  <cp:revision/>
  <dcterms:created xsi:type="dcterms:W3CDTF">2022-01-18T12:07:05Z</dcterms:created>
  <dcterms:modified xsi:type="dcterms:W3CDTF">2023-11-16T11:42:56Z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0x0101007D604AC55CF44A45B379E1E22005C59B</vt:lpwstr>
  </property>
</Properties>
</file>