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mob.sharepoint.com/sites/Barnehage-ogskolebehovsplanrevisjon/Delte dokumenter/Revidering av barnehage og skolebehovsplanen 2023/REVIDERT PLAN -23/Revidert plan/Vedlegg til planen/"/>
    </mc:Choice>
  </mc:AlternateContent>
  <xr:revisionPtr revIDLastSave="846" documentId="8_{DD2DA5FD-BC49-44E7-9887-2D109F626A3F}" xr6:coauthVersionLast="47" xr6:coauthVersionMax="47" xr10:uidLastSave="{F7098057-0CFE-4C92-A9D1-3CA411BBD0F8}"/>
  <bookViews>
    <workbookView xWindow="28800" yWindow="0" windowWidth="28800" windowHeight="17400" xr2:uid="{63F336A1-F748-4D67-A529-340E526B28EF}"/>
  </bookViews>
  <sheets>
    <sheet name="Vedlegg 1. Grunndata bhg" sheetId="1" r:id="rId1"/>
  </sheets>
  <definedNames>
    <definedName name="_xlnm._FilterDatabase" localSheetId="0" hidden="1">'Vedlegg 1. Grunndata bhg'!$B$2:$AV$66</definedName>
    <definedName name="_ftn1" localSheetId="0">'Vedlegg 1. Grunndata bhg'!#REF!</definedName>
    <definedName name="_ftnref1" localSheetId="0">'Vedlegg 1. Grunndata bhg'!#REF!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5" i="1" l="1"/>
  <c r="AP17" i="1"/>
  <c r="AP27" i="1"/>
  <c r="AP43" i="1"/>
  <c r="D75" i="1"/>
  <c r="E67" i="1"/>
  <c r="F67" i="1"/>
  <c r="G67" i="1"/>
  <c r="H67" i="1"/>
  <c r="I67" i="1"/>
  <c r="J67" i="1"/>
  <c r="K67" i="1"/>
  <c r="L67" i="1"/>
  <c r="M67" i="1"/>
  <c r="D67" i="1"/>
  <c r="AP14" i="1"/>
  <c r="AP67" i="1" s="1"/>
  <c r="D59" i="1"/>
  <c r="C59" i="1"/>
  <c r="AP58" i="1"/>
  <c r="AP57" i="1"/>
  <c r="AP55" i="1"/>
  <c r="AP54" i="1"/>
  <c r="AP53" i="1"/>
  <c r="AP52" i="1"/>
  <c r="AP51" i="1"/>
  <c r="AP50" i="1"/>
  <c r="AP49" i="1"/>
  <c r="AP48" i="1"/>
  <c r="AP47" i="1"/>
  <c r="AP41" i="1"/>
  <c r="AP38" i="1"/>
  <c r="AP28" i="1"/>
  <c r="AP26" i="1"/>
  <c r="AP25" i="1"/>
  <c r="AP19" i="1"/>
  <c r="AP18" i="1"/>
  <c r="AP16" i="1"/>
  <c r="AC27" i="1"/>
  <c r="AC38" i="1"/>
  <c r="AC48" i="1"/>
  <c r="AC51" i="1"/>
  <c r="AC54" i="1"/>
  <c r="AC57" i="1"/>
  <c r="AR58" i="1" l="1"/>
  <c r="AR47" i="1"/>
  <c r="AR50" i="1"/>
  <c r="AR51" i="1"/>
  <c r="AR53" i="1"/>
  <c r="AR54" i="1"/>
  <c r="AR55" i="1"/>
  <c r="AR25" i="1"/>
  <c r="AR26" i="1"/>
  <c r="AR15" i="1"/>
  <c r="AR17" i="1"/>
  <c r="AR14" i="1"/>
  <c r="Z12" i="1"/>
  <c r="AA12" i="1" s="1"/>
  <c r="AB12" i="1" s="1"/>
  <c r="Z5" i="1"/>
  <c r="AA5" i="1" s="1"/>
  <c r="AB5" i="1" s="1"/>
  <c r="Z6" i="1"/>
  <c r="AA6" i="1" s="1"/>
  <c r="AB6" i="1" s="1"/>
  <c r="Z7" i="1"/>
  <c r="AA7" i="1" s="1"/>
  <c r="AB7" i="1" s="1"/>
  <c r="Z8" i="1"/>
  <c r="AA8" i="1" s="1"/>
  <c r="AB8" i="1" s="1"/>
  <c r="Z9" i="1"/>
  <c r="AA9" i="1" s="1"/>
  <c r="AB9" i="1" s="1"/>
  <c r="Z10" i="1"/>
  <c r="AA10" i="1" s="1"/>
  <c r="AB10" i="1" s="1"/>
  <c r="Z11" i="1"/>
  <c r="AA11" i="1" s="1"/>
  <c r="AB11" i="1" s="1"/>
  <c r="Z13" i="1"/>
  <c r="AA13" i="1" s="1"/>
  <c r="AB13" i="1" s="1"/>
  <c r="Z14" i="1"/>
  <c r="Z15" i="1"/>
  <c r="AA15" i="1" s="1"/>
  <c r="AB15" i="1" s="1"/>
  <c r="Z16" i="1"/>
  <c r="AA16" i="1" s="1"/>
  <c r="AB16" i="1" s="1"/>
  <c r="Z17" i="1"/>
  <c r="AA17" i="1" s="1"/>
  <c r="Z18" i="1"/>
  <c r="AA18" i="1" s="1"/>
  <c r="AB18" i="1" s="1"/>
  <c r="Z19" i="1"/>
  <c r="AA19" i="1" s="1"/>
  <c r="AB19" i="1" s="1"/>
  <c r="Z20" i="1"/>
  <c r="AA20" i="1" s="1"/>
  <c r="AB20" i="1" s="1"/>
  <c r="Z21" i="1"/>
  <c r="AA21" i="1" s="1"/>
  <c r="AB21" i="1" s="1"/>
  <c r="Z22" i="1"/>
  <c r="AA22" i="1" s="1"/>
  <c r="AB22" i="1" s="1"/>
  <c r="Z23" i="1"/>
  <c r="AA23" i="1" s="1"/>
  <c r="AB23" i="1" s="1"/>
  <c r="Z24" i="1"/>
  <c r="AA24" i="1" s="1"/>
  <c r="AB24" i="1" s="1"/>
  <c r="Z25" i="1"/>
  <c r="AA25" i="1" s="1"/>
  <c r="AB25" i="1" s="1"/>
  <c r="Z26" i="1"/>
  <c r="AA26" i="1" s="1"/>
  <c r="AB26" i="1" s="1"/>
  <c r="Z27" i="1"/>
  <c r="AA27" i="1" s="1"/>
  <c r="Z28" i="1"/>
  <c r="Z29" i="1"/>
  <c r="AA29" i="1" s="1"/>
  <c r="AB29" i="1" s="1"/>
  <c r="Z30" i="1"/>
  <c r="AA30" i="1" s="1"/>
  <c r="AB30" i="1" s="1"/>
  <c r="Z31" i="1"/>
  <c r="AA31" i="1" s="1"/>
  <c r="AB31" i="1" s="1"/>
  <c r="Z32" i="1"/>
  <c r="AA32" i="1" s="1"/>
  <c r="AB32" i="1" s="1"/>
  <c r="AC32" i="1" s="1"/>
  <c r="Z33" i="1"/>
  <c r="AA33" i="1" s="1"/>
  <c r="AB33" i="1" s="1"/>
  <c r="AC33" i="1" s="1"/>
  <c r="Z34" i="1"/>
  <c r="AA34" i="1" s="1"/>
  <c r="AB34" i="1" s="1"/>
  <c r="Z35" i="1"/>
  <c r="AA35" i="1" s="1"/>
  <c r="AB35" i="1" s="1"/>
  <c r="Z36" i="1"/>
  <c r="AA36" i="1" s="1"/>
  <c r="AB36" i="1" s="1"/>
  <c r="Z37" i="1"/>
  <c r="AA37" i="1" s="1"/>
  <c r="AB37" i="1" s="1"/>
  <c r="Z38" i="1"/>
  <c r="AA38" i="1" s="1"/>
  <c r="Z39" i="1"/>
  <c r="AA39" i="1" s="1"/>
  <c r="AB39" i="1" s="1"/>
  <c r="Z40" i="1"/>
  <c r="AA40" i="1" s="1"/>
  <c r="AB40" i="1" s="1"/>
  <c r="AC40" i="1" s="1"/>
  <c r="Z41" i="1"/>
  <c r="AA41" i="1" s="1"/>
  <c r="AB41" i="1" s="1"/>
  <c r="Z42" i="1"/>
  <c r="AA42" i="1" s="1"/>
  <c r="AB42" i="1" s="1"/>
  <c r="Z43" i="1"/>
  <c r="AA43" i="1" s="1"/>
  <c r="AB43" i="1" s="1"/>
  <c r="Z44" i="1"/>
  <c r="AA44" i="1" s="1"/>
  <c r="AB44" i="1" s="1"/>
  <c r="Z45" i="1"/>
  <c r="AA45" i="1" s="1"/>
  <c r="AB45" i="1" s="1"/>
  <c r="Z46" i="1"/>
  <c r="AA46" i="1" s="1"/>
  <c r="AB46" i="1" s="1"/>
  <c r="Z47" i="1"/>
  <c r="AA47" i="1" s="1"/>
  <c r="AB47" i="1" s="1"/>
  <c r="Z48" i="1"/>
  <c r="AA48" i="1" s="1"/>
  <c r="Z49" i="1"/>
  <c r="AA49" i="1" s="1"/>
  <c r="AB49" i="1" s="1"/>
  <c r="Z50" i="1"/>
  <c r="AA50" i="1" s="1"/>
  <c r="AB50" i="1" s="1"/>
  <c r="Z51" i="1"/>
  <c r="AA51" i="1" s="1"/>
  <c r="Z52" i="1"/>
  <c r="AA52" i="1" s="1"/>
  <c r="AB52" i="1" s="1"/>
  <c r="Z53" i="1"/>
  <c r="AA53" i="1" s="1"/>
  <c r="AB53" i="1" s="1"/>
  <c r="Z54" i="1"/>
  <c r="AA54" i="1" s="1"/>
  <c r="Z55" i="1"/>
  <c r="AA55" i="1" s="1"/>
  <c r="AB55" i="1" s="1"/>
  <c r="Z56" i="1"/>
  <c r="AA56" i="1" s="1"/>
  <c r="AB56" i="1" s="1"/>
  <c r="Z57" i="1"/>
  <c r="AA57" i="1" s="1"/>
  <c r="Z58" i="1"/>
  <c r="AA58" i="1" s="1"/>
  <c r="AB58" i="1" s="1"/>
  <c r="Z4" i="1"/>
  <c r="AA4" i="1" s="1"/>
  <c r="U59" i="1"/>
  <c r="V59" i="1"/>
  <c r="W5" i="1"/>
  <c r="W6" i="1"/>
  <c r="W7" i="1"/>
  <c r="W8" i="1"/>
  <c r="W9" i="1"/>
  <c r="W10" i="1"/>
  <c r="W11" i="1"/>
  <c r="W12" i="1"/>
  <c r="W13" i="1"/>
  <c r="W43" i="1"/>
  <c r="W47" i="1"/>
  <c r="W20" i="1"/>
  <c r="W21" i="1"/>
  <c r="W22" i="1"/>
  <c r="W23" i="1"/>
  <c r="W24" i="1"/>
  <c r="W29" i="1"/>
  <c r="W30" i="1"/>
  <c r="W31" i="1"/>
  <c r="W32" i="1"/>
  <c r="W33" i="1"/>
  <c r="W34" i="1"/>
  <c r="W35" i="1"/>
  <c r="W36" i="1"/>
  <c r="W37" i="1"/>
  <c r="W39" i="1"/>
  <c r="W40" i="1"/>
  <c r="W42" i="1"/>
  <c r="W44" i="1"/>
  <c r="W45" i="1"/>
  <c r="W46" i="1"/>
  <c r="W41" i="1"/>
  <c r="W56" i="1"/>
  <c r="W38" i="1"/>
  <c r="W4" i="1"/>
  <c r="T5" i="1"/>
  <c r="T6" i="1"/>
  <c r="T7" i="1"/>
  <c r="T8" i="1"/>
  <c r="T9" i="1"/>
  <c r="T10" i="1"/>
  <c r="T11" i="1"/>
  <c r="T12" i="1"/>
  <c r="T13" i="1"/>
  <c r="T58" i="1"/>
  <c r="T18" i="1"/>
  <c r="T19" i="1"/>
  <c r="T25" i="1"/>
  <c r="T43" i="1"/>
  <c r="T47" i="1"/>
  <c r="T20" i="1"/>
  <c r="T21" i="1"/>
  <c r="T22" i="1"/>
  <c r="T23" i="1"/>
  <c r="T24" i="1"/>
  <c r="T27" i="1"/>
  <c r="T54" i="1"/>
  <c r="T55" i="1"/>
  <c r="T16" i="1"/>
  <c r="T29" i="1"/>
  <c r="T30" i="1"/>
  <c r="T31" i="1"/>
  <c r="T32" i="1"/>
  <c r="T33" i="1"/>
  <c r="T34" i="1"/>
  <c r="T35" i="1"/>
  <c r="T36" i="1"/>
  <c r="T37" i="1"/>
  <c r="T50" i="1"/>
  <c r="T39" i="1"/>
  <c r="T40" i="1"/>
  <c r="T14" i="1"/>
  <c r="T42" i="1"/>
  <c r="T26" i="1"/>
  <c r="T44" i="1"/>
  <c r="T45" i="1"/>
  <c r="T46" i="1"/>
  <c r="T48" i="1"/>
  <c r="T49" i="1"/>
  <c r="T52" i="1"/>
  <c r="T53" i="1"/>
  <c r="T41" i="1"/>
  <c r="T57" i="1"/>
  <c r="T17" i="1"/>
  <c r="T28" i="1"/>
  <c r="T51" i="1"/>
  <c r="T56" i="1"/>
  <c r="T38" i="1"/>
  <c r="T15" i="1"/>
  <c r="T4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E61" i="1"/>
  <c r="I69" i="1" s="1"/>
  <c r="E60" i="1"/>
  <c r="H68" i="1" s="1"/>
  <c r="E62" i="1"/>
  <c r="H70" i="1" s="1"/>
  <c r="AA14" i="1" l="1"/>
  <c r="AB14" i="1" s="1"/>
  <c r="AC59" i="1"/>
  <c r="AB4" i="1"/>
  <c r="AA28" i="1"/>
  <c r="AB28" i="1" s="1"/>
  <c r="L68" i="1"/>
  <c r="J68" i="1"/>
  <c r="I68" i="1"/>
  <c r="F68" i="1"/>
  <c r="D68" i="1"/>
  <c r="M68" i="1"/>
  <c r="E68" i="1"/>
  <c r="W59" i="1"/>
  <c r="F70" i="1"/>
  <c r="G70" i="1"/>
  <c r="K68" i="1"/>
  <c r="G68" i="1"/>
  <c r="M70" i="1"/>
  <c r="E70" i="1"/>
  <c r="G69" i="1"/>
  <c r="L70" i="1"/>
  <c r="D70" i="1"/>
  <c r="F69" i="1"/>
  <c r="K70" i="1"/>
  <c r="M69" i="1"/>
  <c r="E69" i="1"/>
  <c r="H69" i="1"/>
  <c r="H71" i="1" s="1"/>
  <c r="H72" i="1" s="1"/>
  <c r="J70" i="1"/>
  <c r="L69" i="1"/>
  <c r="D69" i="1"/>
  <c r="I70" i="1"/>
  <c r="K69" i="1"/>
  <c r="J69" i="1"/>
  <c r="T59" i="1"/>
  <c r="AB59" i="1" l="1"/>
  <c r="J71" i="1"/>
  <c r="J72" i="1" s="1"/>
  <c r="D71" i="1"/>
  <c r="L71" i="1"/>
  <c r="L72" i="1" s="1"/>
  <c r="M71" i="1"/>
  <c r="K71" i="1"/>
  <c r="K72" i="1" s="1"/>
  <c r="I71" i="1"/>
  <c r="I72" i="1" s="1"/>
  <c r="F71" i="1"/>
  <c r="F72" i="1" s="1"/>
  <c r="G71" i="1"/>
  <c r="G72" i="1" s="1"/>
  <c r="E71" i="1"/>
  <c r="E72" i="1" s="1"/>
  <c r="AQ10" i="1"/>
  <c r="AQ33" i="1"/>
  <c r="AQ32" i="1"/>
  <c r="AQ9" i="1"/>
  <c r="AQ31" i="1"/>
  <c r="AQ30" i="1"/>
  <c r="AQ8" i="1"/>
  <c r="AQ29" i="1"/>
  <c r="AQ44" i="1"/>
  <c r="AQ7" i="1"/>
  <c r="AQ6" i="1"/>
  <c r="AQ42" i="1"/>
  <c r="AQ5" i="1"/>
  <c r="M72" i="1" l="1"/>
  <c r="N71" i="1"/>
  <c r="D72" i="1"/>
  <c r="D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Ståle Ellefsen Aasjord</author>
    <author>tc={8004BF93-783F-4DF9-A9A6-E5B1DFAA6B49}</author>
    <author>tc={6D1F4CD5-2F94-43AD-9223-60AE679C9F97}</author>
  </authors>
  <commentList>
    <comment ref="R2" authorId="0" shapeId="0" xr:uid="{ED3DFA7C-F2F2-400B-B78C-CE1498FE7FC1}">
      <text>
        <r>
          <rPr>
            <b/>
            <sz val="9"/>
            <color indexed="81"/>
            <rFont val="Tahoma"/>
            <charset val="1"/>
          </rPr>
          <t>Ståle Ellefsen Aasjord:</t>
        </r>
        <r>
          <rPr>
            <sz val="9"/>
            <color indexed="81"/>
            <rFont val="Tahoma"/>
            <charset val="1"/>
          </rPr>
          <t xml:space="preserve">
Oppdatert med Budsjett 2024-tall på kommunale barnehager</t>
        </r>
      </text>
    </comment>
    <comment ref="W2" authorId="0" shapeId="0" xr:uid="{6BAB4B14-478F-4E45-9E8F-FC02C6C9ADAD}">
      <text>
        <r>
          <rPr>
            <b/>
            <sz val="9"/>
            <color indexed="81"/>
            <rFont val="Tahoma"/>
            <charset val="1"/>
          </rPr>
          <t>Ståle Ellefsen Aasjord:</t>
        </r>
        <r>
          <rPr>
            <sz val="9"/>
            <color indexed="81"/>
            <rFont val="Tahoma"/>
            <charset val="1"/>
          </rPr>
          <t xml:space="preserve">
2024 budsjettall kommunal barnehager</t>
        </r>
      </text>
    </comment>
    <comment ref="Y15" authorId="0" shapeId="0" xr:uid="{9B745E4E-86E5-4AB4-A9CA-5814B5880818}">
      <text>
        <r>
          <rPr>
            <b/>
            <sz val="9"/>
            <color indexed="81"/>
            <rFont val="Tahoma"/>
            <charset val="1"/>
          </rPr>
          <t>Ståle Ellefsen Aasjord:</t>
        </r>
        <r>
          <rPr>
            <sz val="9"/>
            <color indexed="81"/>
            <rFont val="Tahoma"/>
            <charset val="1"/>
          </rPr>
          <t xml:space="preserve">
Regnbbuen hadde 80 og er flyttet til Rønvik.  Da får Barnas hus 180 + 80 = 260.
Skal ha plass til Parkveien </t>
        </r>
      </text>
    </comment>
    <comment ref="AE17" authorId="1" shapeId="0" xr:uid="{8004BF93-783F-4DF9-A9A6-E5B1DFAA6B4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Usikkert tall</t>
      </text>
    </comment>
    <comment ref="AE47" authorId="2" shapeId="0" xr:uid="{6D1F4CD5-2F94-43AD-9223-60AE679C9F9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Usikkert tall</t>
      </text>
    </comment>
    <comment ref="Y50" authorId="0" shapeId="0" xr:uid="{F650E98F-1051-47C0-918A-20A547FCC2BC}">
      <text>
        <r>
          <rPr>
            <b/>
            <sz val="9"/>
            <color indexed="81"/>
            <rFont val="Tahoma"/>
            <charset val="1"/>
          </rPr>
          <t>Ståle Ellefsen Aasjord:</t>
        </r>
        <r>
          <rPr>
            <sz val="9"/>
            <color indexed="81"/>
            <rFont val="Tahoma"/>
            <charset val="1"/>
          </rPr>
          <t xml:space="preserve">
stod inne med 405 men nå 325,3.  Redusert med 80 siden Regnbuen har tatt 80 m2</t>
        </r>
      </text>
    </comment>
  </commentList>
</comments>
</file>

<file path=xl/sharedStrings.xml><?xml version="1.0" encoding="utf-8"?>
<sst xmlns="http://schemas.openxmlformats.org/spreadsheetml/2006/main" count="237" uniqueCount="121">
  <si>
    <t>Demografiutvikling (antall nye fødsler)</t>
  </si>
  <si>
    <t>Bydel</t>
  </si>
  <si>
    <t>Barnehage</t>
  </si>
  <si>
    <t>Eierform</t>
  </si>
  <si>
    <t>Driftsform</t>
  </si>
  <si>
    <t xml:space="preserve">Teoretisk makskapasitet i ekvivalenter ut fra bemanning. </t>
  </si>
  <si>
    <t>Ekvivalenttall oktober 23</t>
  </si>
  <si>
    <t>Ledige plasser i ekvivalenter ut fra bemanning</t>
  </si>
  <si>
    <t>Mulighetsrom areal (tall står for ekvivalenter)</t>
  </si>
  <si>
    <t>Teoretisk ledig kapasitet (R+S)</t>
  </si>
  <si>
    <t>Antall årsverk mht bemanningsnorm</t>
  </si>
  <si>
    <t>Antall ansatte</t>
  </si>
  <si>
    <t>Godkjent leke- og oppholdsareal</t>
  </si>
  <si>
    <t>Brukt areal ut fra snitt 4,65m2 pr barn</t>
  </si>
  <si>
    <t>Ledig godkjent /leke og oppholdsareal</t>
  </si>
  <si>
    <t>ledig areal til antall barn</t>
  </si>
  <si>
    <t>Ledig areal til ant. ekvivalenter</t>
  </si>
  <si>
    <t xml:space="preserve">Areal </t>
  </si>
  <si>
    <t>Ledig areal pr. 15.12.20, fra 2021 Mørkvedbukta og Misvær</t>
  </si>
  <si>
    <t>Byggeår</t>
  </si>
  <si>
    <t>Tilstandsgrad</t>
  </si>
  <si>
    <t>Universiell utforming</t>
  </si>
  <si>
    <t>Vedlikeholdsår</t>
  </si>
  <si>
    <t xml:space="preserve">Egnethet </t>
  </si>
  <si>
    <t>Effekt</t>
  </si>
  <si>
    <t>Plassering og tilgjengelighet</t>
  </si>
  <si>
    <t>Brukerfornøydhet</t>
  </si>
  <si>
    <t>Politisk saksbehandling (Ståle)</t>
  </si>
  <si>
    <t>FDV, forsyning og renholdskost pr. kvm. for denne byggtypen fra Norsk prisbok</t>
  </si>
  <si>
    <t>FDV-kost x areal</t>
  </si>
  <si>
    <t>Estimert vedlikeholdsetterslep og hvis nødvendig hovedombyggingskost/moderniseringstiltak. 30.10.2023</t>
  </si>
  <si>
    <t>Estimert utomhus (Høy usikkerhet)</t>
  </si>
  <si>
    <t>Tilskudd pr barn (Eirik)</t>
  </si>
  <si>
    <t>Inntekter Budsjett 2023, funksjon 201 og 211</t>
  </si>
  <si>
    <t>Andre driftskostnader Budsjett 2023 Funkjson 201 og 211</t>
  </si>
  <si>
    <t>lønnskost Budsjett 2023 funksjon 201 og 211</t>
  </si>
  <si>
    <t>Bodøsjøen-Alstad-Grønnåsen</t>
  </si>
  <si>
    <t>P</t>
  </si>
  <si>
    <t>Alsgård FUS bh</t>
  </si>
  <si>
    <t>Bamsebo bh</t>
  </si>
  <si>
    <t>Grønnåsen bh</t>
  </si>
  <si>
    <t>Jensvoll bh</t>
  </si>
  <si>
    <t>Læringsverkstedet Bodøsjøen</t>
  </si>
  <si>
    <t>Læringsverkstedet Notveien</t>
  </si>
  <si>
    <t>Læringsverkstedet Trålveien</t>
  </si>
  <si>
    <t>Norlandia Nissebo bh</t>
  </si>
  <si>
    <t>Norlandia Paradiset bh</t>
  </si>
  <si>
    <t>Norlandia Tusseladden bh</t>
  </si>
  <si>
    <t>Sentrum</t>
  </si>
  <si>
    <t>Asphaugen bh</t>
  </si>
  <si>
    <t>K</t>
  </si>
  <si>
    <t>2008/1990</t>
  </si>
  <si>
    <t>Barnas Hus</t>
  </si>
  <si>
    <t>Rønvik-Saltvern</t>
  </si>
  <si>
    <t>Bjerkenga Miljøbarnehage</t>
  </si>
  <si>
    <t>ukjent</t>
  </si>
  <si>
    <t>TGIU</t>
  </si>
  <si>
    <t>Tverlandet-Saltstraumen</t>
  </si>
  <si>
    <t>Engmark bh</t>
  </si>
  <si>
    <t>?</t>
  </si>
  <si>
    <t>1990/2007</t>
  </si>
  <si>
    <t>Hunstad-Mørkved</t>
  </si>
  <si>
    <t>Gjæran Avd. Messiosen</t>
  </si>
  <si>
    <t>Gjæran Avd. Osphaugen</t>
  </si>
  <si>
    <t>Norlandia Bjørneborgen bh</t>
  </si>
  <si>
    <t>Norlandia Kjeldmyrlia bh</t>
  </si>
  <si>
    <t>Norlandia Mellommyra bh</t>
  </si>
  <si>
    <t>Studentongan bh</t>
  </si>
  <si>
    <t>Trollmyra bh</t>
  </si>
  <si>
    <t>Hunstad Øst bh</t>
  </si>
  <si>
    <t>Jentoftsletta bh</t>
  </si>
  <si>
    <t>Kjerringøy</t>
  </si>
  <si>
    <t>Kjerringøy oppvekstsenter</t>
  </si>
  <si>
    <t>Løding bh (avd. Engmark og avd. Maurtua)</t>
  </si>
  <si>
    <t>2011/1978</t>
  </si>
  <si>
    <t>Lillevollen bh</t>
  </si>
  <si>
    <t>Læringsverkstedet Knerten</t>
  </si>
  <si>
    <t>Læringsverkstedet Nerenga</t>
  </si>
  <si>
    <t>Læringsverkstedet Saltvern</t>
  </si>
  <si>
    <t>Læringsverkstedet Saltvern avd. Maskinisten</t>
  </si>
  <si>
    <t>Neståsen bh</t>
  </si>
  <si>
    <t>Norlandia avd. Stordalen</t>
  </si>
  <si>
    <t>Norlandia Solenga</t>
  </si>
  <si>
    <t xml:space="preserve">Norlandia Vollen </t>
  </si>
  <si>
    <t>Væran</t>
  </si>
  <si>
    <t>Løvetanna bh (skolen i Væran)</t>
  </si>
  <si>
    <t>2015?</t>
  </si>
  <si>
    <t>-</t>
  </si>
  <si>
    <t>Rønvik menighetsbarnehage</t>
  </si>
  <si>
    <t>Vågønes bh</t>
  </si>
  <si>
    <t>Skjerstad-Misvær</t>
  </si>
  <si>
    <t>Misvær oppvekstsenter</t>
  </si>
  <si>
    <t>Glaungan bh</t>
  </si>
  <si>
    <t>Mørkvedbukta bh (åpner høst 21)/Mørkvedlia</t>
  </si>
  <si>
    <t>Labbetuss bh</t>
  </si>
  <si>
    <t>Norlandia Breivika bh</t>
  </si>
  <si>
    <t>Norlandia Stadionparken bh</t>
  </si>
  <si>
    <t>Mørkvedmarka bh</t>
  </si>
  <si>
    <t>Regnbuen</t>
  </si>
  <si>
    <t>Rensåsen bh</t>
  </si>
  <si>
    <t>Rønvik bh</t>
  </si>
  <si>
    <t>Saltstraumen bh</t>
  </si>
  <si>
    <t>Sentrum bh avd. Parkveien</t>
  </si>
  <si>
    <t>Sentrum bh avd. Vestbyen</t>
  </si>
  <si>
    <t>Nordsia</t>
  </si>
  <si>
    <t>Skaug oppvekstsenter</t>
  </si>
  <si>
    <t>1997/2001</t>
  </si>
  <si>
    <t>Skivik barnehage</t>
  </si>
  <si>
    <t>Tverlandet kirkebarnehage</t>
  </si>
  <si>
    <t>Skjerstad oppvekstsenter</t>
  </si>
  <si>
    <t>1904/1963/1995</t>
  </si>
  <si>
    <t>Stokkvika</t>
  </si>
  <si>
    <t>1978/2005</t>
  </si>
  <si>
    <t>Barn totalt under 1</t>
  </si>
  <si>
    <t>Barn totalt 1-3</t>
  </si>
  <si>
    <t>Barn totalt over 3</t>
  </si>
  <si>
    <t>Prognoser Barn totalt under 1</t>
  </si>
  <si>
    <t>Prognoser Barn totalt 1-3</t>
  </si>
  <si>
    <t>Prognoser Barn totalt over 3</t>
  </si>
  <si>
    <t>Prognoser Barn totalt under 1 -hvis samme brukerandel</t>
  </si>
  <si>
    <t>Merbehov for  barnehageplasser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</si>
</sst>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Segoe UI Light"/>
      <family val="2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 applyAlignment="1"/>
    <xf numFmtId="0" fontId="3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2" fontId="0" fillId="0" borderId="2" xfId="0" applyNumberFormat="1" applyBorder="1"/>
    <xf numFmtId="0" fontId="0" fillId="0" borderId="2" xfId="0" applyBorder="1"/>
    <xf numFmtId="43" fontId="0" fillId="0" borderId="2" xfId="1" applyFont="1" applyBorder="1"/>
    <xf numFmtId="164" fontId="0" fillId="0" borderId="2" xfId="1" applyNumberFormat="1" applyFon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0" borderId="2" xfId="0" applyBorder="1" applyAlignment="1">
      <alignment horizontal="right" vertical="center" wrapText="1"/>
    </xf>
    <xf numFmtId="0" fontId="0" fillId="7" borderId="2" xfId="0" applyFill="1" applyBorder="1"/>
    <xf numFmtId="164" fontId="0" fillId="0" borderId="2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1" fontId="0" fillId="0" borderId="0" xfId="0" applyNumberFormat="1"/>
    <xf numFmtId="43" fontId="0" fillId="0" borderId="0" xfId="1" applyFont="1"/>
    <xf numFmtId="0" fontId="0" fillId="9" borderId="2" xfId="0" applyFill="1" applyBorder="1"/>
    <xf numFmtId="0" fontId="0" fillId="9" borderId="0" xfId="0" applyFill="1"/>
    <xf numFmtId="164" fontId="0" fillId="0" borderId="3" xfId="1" applyNumberFormat="1" applyFont="1" applyBorder="1"/>
    <xf numFmtId="0" fontId="7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4" xfId="1" applyNumberFormat="1" applyFont="1" applyBorder="1"/>
    <xf numFmtId="0" fontId="0" fillId="0" borderId="0" xfId="0" applyAlignment="1">
      <alignment vertical="center" wrapText="1"/>
    </xf>
    <xf numFmtId="0" fontId="0" fillId="10" borderId="2" xfId="0" applyFill="1" applyBorder="1"/>
    <xf numFmtId="0" fontId="7" fillId="10" borderId="2" xfId="0" applyFont="1" applyFill="1" applyBorder="1" applyAlignment="1">
      <alignment vertical="center" wrapText="1"/>
    </xf>
    <xf numFmtId="9" fontId="0" fillId="10" borderId="2" xfId="2" applyFont="1" applyFill="1" applyBorder="1"/>
    <xf numFmtId="0" fontId="0" fillId="11" borderId="2" xfId="0" applyFill="1" applyBorder="1" applyAlignment="1">
      <alignment vertical="center" wrapText="1"/>
    </xf>
    <xf numFmtId="0" fontId="0" fillId="12" borderId="2" xfId="0" applyFill="1" applyBorder="1" applyAlignment="1">
      <alignment vertical="center" wrapText="1"/>
    </xf>
    <xf numFmtId="0" fontId="7" fillId="12" borderId="2" xfId="0" applyFont="1" applyFill="1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0" fontId="7" fillId="13" borderId="2" xfId="0" applyFont="1" applyFill="1" applyBorder="1" applyAlignment="1">
      <alignment vertical="center" wrapText="1"/>
    </xf>
    <xf numFmtId="0" fontId="0" fillId="13" borderId="2" xfId="0" applyFill="1" applyBorder="1"/>
    <xf numFmtId="0" fontId="0" fillId="13" borderId="2" xfId="0" applyFill="1" applyBorder="1" applyAlignment="1">
      <alignment horizontal="right"/>
    </xf>
    <xf numFmtId="0" fontId="0" fillId="13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2" xfId="1" applyNumberFormat="1" applyFont="1" applyBorder="1" applyAlignment="1"/>
    <xf numFmtId="0" fontId="0" fillId="0" borderId="6" xfId="0" applyBorder="1"/>
    <xf numFmtId="0" fontId="0" fillId="0" borderId="7" xfId="0" applyBorder="1"/>
    <xf numFmtId="43" fontId="0" fillId="0" borderId="4" xfId="1" applyFont="1" applyBorder="1"/>
    <xf numFmtId="164" fontId="0" fillId="0" borderId="6" xfId="1" applyNumberFormat="1" applyFont="1" applyBorder="1" applyAlignment="1"/>
    <xf numFmtId="164" fontId="0" fillId="0" borderId="6" xfId="1" applyNumberFormat="1" applyFont="1" applyBorder="1" applyAlignment="1">
      <alignment vertical="center"/>
    </xf>
    <xf numFmtId="164" fontId="0" fillId="13" borderId="2" xfId="1" applyNumberFormat="1" applyFont="1" applyFill="1" applyBorder="1"/>
    <xf numFmtId="0" fontId="0" fillId="14" borderId="2" xfId="0" applyFill="1" applyBorder="1"/>
    <xf numFmtId="0" fontId="7" fillId="14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13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0" fillId="0" borderId="3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13" borderId="3" xfId="0" applyNumberFormat="1" applyFill="1" applyBorder="1"/>
    <xf numFmtId="1" fontId="6" fillId="8" borderId="2" xfId="0" applyNumberFormat="1" applyFont="1" applyFill="1" applyBorder="1" applyAlignment="1">
      <alignment vertical="center" wrapText="1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165" fontId="0" fillId="13" borderId="3" xfId="1" applyNumberFormat="1" applyFont="1" applyFill="1" applyBorder="1"/>
    <xf numFmtId="165" fontId="0" fillId="0" borderId="4" xfId="1" applyNumberFormat="1" applyFont="1" applyBorder="1"/>
    <xf numFmtId="164" fontId="0" fillId="0" borderId="10" xfId="1" applyNumberFormat="1" applyFont="1" applyFill="1" applyBorder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1" xfId="0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åle Ellefsen Aasjord" id="{BC84DAB9-0134-41B9-A570-665AE9D76700}" userId="S::Stale.Ellefsen.Aasjord@bodo.kommune.no::6bb582bf-121b-4ae6-97c2-05d748b3f9fc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E17" dT="2021-10-11T13:14:35.38" personId="{BC84DAB9-0134-41B9-A570-665AE9D76700}" id="{8004BF93-783F-4DF9-A9A6-E5B1DFAA6B49}">
    <text>Usikkert tall</text>
  </threadedComment>
  <threadedComment ref="AE47" dT="2021-10-11T13:14:08.67" personId="{BC84DAB9-0134-41B9-A570-665AE9D76700}" id="{6D1F4CD5-2F94-43AD-9223-60AE679C9F97}">
    <text>Usikkert tall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58C2C-1ED8-484C-AF2D-DB53EDC8E118}">
  <sheetPr filterMode="1">
    <tabColor rgb="FFA9D08E"/>
  </sheetPr>
  <dimension ref="A1:CX75"/>
  <sheetViews>
    <sheetView tabSelected="1" topLeftCell="H1" zoomScale="70" zoomScaleNormal="70" workbookViewId="0">
      <selection activeCell="AC14" sqref="AC14:AC67"/>
    </sheetView>
  </sheetViews>
  <sheetFormatPr baseColWidth="10" defaultColWidth="9.140625" defaultRowHeight="15" x14ac:dyDescent="0.25"/>
  <cols>
    <col min="1" max="1" width="5.140625" customWidth="1"/>
    <col min="2" max="2" width="32.85546875" customWidth="1"/>
    <col min="3" max="14" width="8.7109375" customWidth="1"/>
    <col min="15" max="15" width="48.5703125" customWidth="1"/>
    <col min="16" max="16" width="15.7109375" customWidth="1"/>
    <col min="17" max="17" width="9.28515625" customWidth="1"/>
    <col min="18" max="23" width="15.7109375" customWidth="1"/>
    <col min="24" max="24" width="5.5703125" customWidth="1"/>
    <col min="25" max="25" width="10.5703125" customWidth="1"/>
    <col min="26" max="26" width="11.5703125" customWidth="1"/>
    <col min="27" max="27" width="15.7109375" customWidth="1"/>
    <col min="28" max="28" width="10" customWidth="1"/>
    <col min="29" max="30" width="15.7109375" customWidth="1"/>
    <col min="31" max="31" width="14.7109375" customWidth="1"/>
    <col min="32" max="42" width="15.7109375" customWidth="1"/>
    <col min="43" max="44" width="15.7109375" style="30" customWidth="1"/>
    <col min="45" max="48" width="15.7109375" customWidth="1"/>
    <col min="49" max="49" width="19.85546875" customWidth="1"/>
  </cols>
  <sheetData>
    <row r="1" spans="2:49" x14ac:dyDescent="0.25">
      <c r="C1" s="82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W1" s="1"/>
      <c r="X1" s="1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3"/>
      <c r="AR1" s="3"/>
      <c r="AS1" s="1"/>
      <c r="AT1" s="1"/>
      <c r="AU1" s="1"/>
    </row>
    <row r="2" spans="2:49" ht="99" x14ac:dyDescent="0.25">
      <c r="B2" s="4" t="s">
        <v>1</v>
      </c>
      <c r="C2" s="5">
        <v>2023</v>
      </c>
      <c r="D2" s="5">
        <v>2024</v>
      </c>
      <c r="E2" s="5">
        <v>2025</v>
      </c>
      <c r="F2" s="5">
        <v>2026</v>
      </c>
      <c r="G2" s="5">
        <v>2027</v>
      </c>
      <c r="H2" s="5">
        <v>2028</v>
      </c>
      <c r="I2" s="5">
        <v>2029</v>
      </c>
      <c r="J2" s="5">
        <v>2030</v>
      </c>
      <c r="K2" s="5">
        <v>2031</v>
      </c>
      <c r="L2" s="5">
        <v>3032</v>
      </c>
      <c r="M2" s="5">
        <v>3033</v>
      </c>
      <c r="N2" s="5">
        <v>2034</v>
      </c>
      <c r="O2" s="5" t="s">
        <v>2</v>
      </c>
      <c r="P2" s="6" t="s">
        <v>3</v>
      </c>
      <c r="Q2" s="5" t="s">
        <v>4</v>
      </c>
      <c r="R2" s="7" t="s">
        <v>5</v>
      </c>
      <c r="S2" s="7" t="s">
        <v>6</v>
      </c>
      <c r="T2" s="7" t="s">
        <v>7</v>
      </c>
      <c r="U2" s="7" t="s">
        <v>8</v>
      </c>
      <c r="V2" s="7" t="s">
        <v>9</v>
      </c>
      <c r="W2" s="8" t="s">
        <v>10</v>
      </c>
      <c r="X2" s="8" t="s">
        <v>11</v>
      </c>
      <c r="Y2" s="9" t="s">
        <v>12</v>
      </c>
      <c r="Z2" s="9" t="s">
        <v>13</v>
      </c>
      <c r="AA2" s="9" t="s">
        <v>14</v>
      </c>
      <c r="AB2" s="9" t="s">
        <v>15</v>
      </c>
      <c r="AC2" s="9" t="s">
        <v>16</v>
      </c>
      <c r="AD2" s="9" t="s">
        <v>17</v>
      </c>
      <c r="AE2" s="9" t="s">
        <v>18</v>
      </c>
      <c r="AF2" s="9" t="s">
        <v>19</v>
      </c>
      <c r="AG2" s="9" t="s">
        <v>20</v>
      </c>
      <c r="AH2" s="9" t="s">
        <v>21</v>
      </c>
      <c r="AI2" s="9" t="s">
        <v>22</v>
      </c>
      <c r="AJ2" s="8" t="s">
        <v>23</v>
      </c>
      <c r="AK2" s="8" t="s">
        <v>24</v>
      </c>
      <c r="AL2" s="8" t="s">
        <v>25</v>
      </c>
      <c r="AM2" s="8" t="s">
        <v>26</v>
      </c>
      <c r="AN2" s="8" t="s">
        <v>27</v>
      </c>
      <c r="AO2" s="10" t="s">
        <v>28</v>
      </c>
      <c r="AP2" s="10" t="s">
        <v>29</v>
      </c>
      <c r="AQ2" s="73" t="s">
        <v>30</v>
      </c>
      <c r="AR2" s="73" t="s">
        <v>31</v>
      </c>
      <c r="AS2" s="11" t="s">
        <v>32</v>
      </c>
      <c r="AT2" s="11" t="s">
        <v>33</v>
      </c>
      <c r="AU2" s="11" t="s">
        <v>34</v>
      </c>
      <c r="AV2" s="11" t="s">
        <v>35</v>
      </c>
    </row>
    <row r="3" spans="2:49" hidden="1" x14ac:dyDescent="0.25">
      <c r="B3" s="12" t="s">
        <v>36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 t="s">
        <v>37</v>
      </c>
      <c r="R3" s="12"/>
      <c r="S3" s="12"/>
      <c r="T3" s="12"/>
      <c r="U3" s="12"/>
      <c r="V3" s="12"/>
      <c r="W3" s="13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2:49" hidden="1" x14ac:dyDescent="0.25">
      <c r="B4" s="12" t="s">
        <v>36</v>
      </c>
      <c r="C4" s="19">
        <v>74</v>
      </c>
      <c r="D4" s="19">
        <v>74</v>
      </c>
      <c r="E4" s="19">
        <v>74</v>
      </c>
      <c r="F4" s="19">
        <v>74</v>
      </c>
      <c r="G4" s="19">
        <v>74</v>
      </c>
      <c r="H4" s="19">
        <v>74</v>
      </c>
      <c r="I4" s="19">
        <v>74</v>
      </c>
      <c r="J4" s="19">
        <v>74</v>
      </c>
      <c r="K4" s="19">
        <v>74</v>
      </c>
      <c r="L4" s="19">
        <v>74</v>
      </c>
      <c r="M4" s="19">
        <v>74</v>
      </c>
      <c r="N4" s="19">
        <v>74</v>
      </c>
      <c r="O4" s="12" t="s">
        <v>38</v>
      </c>
      <c r="P4" s="12"/>
      <c r="Q4" s="12" t="s">
        <v>37</v>
      </c>
      <c r="R4" s="12">
        <v>139</v>
      </c>
      <c r="S4" s="12">
        <v>112</v>
      </c>
      <c r="T4" s="41">
        <f>R4-S4</f>
        <v>27</v>
      </c>
      <c r="U4" s="12"/>
      <c r="V4" s="12">
        <v>48</v>
      </c>
      <c r="W4" s="13">
        <f>S4/6</f>
        <v>18.666666666666668</v>
      </c>
      <c r="X4" s="14"/>
      <c r="Y4" s="14">
        <v>431</v>
      </c>
      <c r="Z4" s="14">
        <f>C4*4.65</f>
        <v>344.1</v>
      </c>
      <c r="AA4" s="14">
        <f>Y4-Z4</f>
        <v>86.899999999999977</v>
      </c>
      <c r="AB4" s="14">
        <f>ROUNDDOWN(AA4/4.65,0)</f>
        <v>18</v>
      </c>
      <c r="AC4" s="14">
        <v>24</v>
      </c>
      <c r="AD4" s="14"/>
      <c r="AE4" s="14">
        <v>61</v>
      </c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5"/>
      <c r="AR4" s="15"/>
      <c r="AS4" s="14"/>
      <c r="AT4" s="14"/>
      <c r="AU4" s="16"/>
      <c r="AV4" s="16"/>
    </row>
    <row r="5" spans="2:49" hidden="1" x14ac:dyDescent="0.25">
      <c r="B5" s="12" t="s">
        <v>36</v>
      </c>
      <c r="C5" s="19">
        <v>25</v>
      </c>
      <c r="D5" s="19">
        <v>25</v>
      </c>
      <c r="E5" s="19">
        <v>25</v>
      </c>
      <c r="F5" s="19">
        <v>25</v>
      </c>
      <c r="G5" s="19">
        <v>25</v>
      </c>
      <c r="H5" s="19">
        <v>25</v>
      </c>
      <c r="I5" s="19">
        <v>25</v>
      </c>
      <c r="J5" s="19">
        <v>25</v>
      </c>
      <c r="K5" s="19">
        <v>25</v>
      </c>
      <c r="L5" s="19">
        <v>25</v>
      </c>
      <c r="M5" s="19">
        <v>25</v>
      </c>
      <c r="N5" s="19">
        <v>25</v>
      </c>
      <c r="O5" s="19" t="s">
        <v>39</v>
      </c>
      <c r="P5" s="20"/>
      <c r="Q5" s="12" t="s">
        <v>37</v>
      </c>
      <c r="R5" s="12">
        <v>39</v>
      </c>
      <c r="S5" s="12">
        <v>33</v>
      </c>
      <c r="T5" s="12">
        <f t="shared" ref="T5:T13" si="0">R5-S5</f>
        <v>6</v>
      </c>
      <c r="U5" s="12"/>
      <c r="V5" s="12"/>
      <c r="W5" s="13">
        <f t="shared" ref="W5:W13" si="1">S5/6</f>
        <v>5.5</v>
      </c>
      <c r="X5" s="14"/>
      <c r="Y5" s="14">
        <v>109</v>
      </c>
      <c r="Z5" s="14">
        <f t="shared" ref="Z5:Z13" si="2">C5*4.65</f>
        <v>116.25000000000001</v>
      </c>
      <c r="AA5" s="14">
        <f t="shared" ref="AA5:AA13" si="3">Y5-Z5</f>
        <v>-7.2500000000000142</v>
      </c>
      <c r="AB5" s="14">
        <f t="shared" ref="AB5:AB13" si="4">ROUNDDOWN(AA5/4.65,0)</f>
        <v>-1</v>
      </c>
      <c r="AC5" s="14">
        <v>-1</v>
      </c>
      <c r="AD5" s="14"/>
      <c r="AE5" s="14">
        <v>8</v>
      </c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5">
        <f t="shared" ref="AQ5:AQ10" si="5">AO5*AD5/1000000</f>
        <v>0</v>
      </c>
      <c r="AR5" s="15"/>
      <c r="AS5" s="14"/>
      <c r="AT5" s="14"/>
      <c r="AU5" s="16"/>
      <c r="AV5" s="16"/>
    </row>
    <row r="6" spans="2:49" hidden="1" x14ac:dyDescent="0.25">
      <c r="B6" s="12" t="s">
        <v>36</v>
      </c>
      <c r="C6" s="19">
        <v>31</v>
      </c>
      <c r="D6" s="19">
        <v>31</v>
      </c>
      <c r="E6" s="19">
        <v>31</v>
      </c>
      <c r="F6" s="19">
        <v>31</v>
      </c>
      <c r="G6" s="19">
        <v>31</v>
      </c>
      <c r="H6" s="19">
        <v>31</v>
      </c>
      <c r="I6" s="19">
        <v>31</v>
      </c>
      <c r="J6" s="19">
        <v>31</v>
      </c>
      <c r="K6" s="19">
        <v>31</v>
      </c>
      <c r="L6" s="19">
        <v>31</v>
      </c>
      <c r="M6" s="19">
        <v>31</v>
      </c>
      <c r="N6" s="19">
        <v>31</v>
      </c>
      <c r="O6" s="12" t="s">
        <v>40</v>
      </c>
      <c r="P6" s="12"/>
      <c r="Q6" s="12" t="s">
        <v>37</v>
      </c>
      <c r="R6" s="12">
        <v>42</v>
      </c>
      <c r="S6" s="12">
        <v>44</v>
      </c>
      <c r="T6" s="12">
        <f t="shared" si="0"/>
        <v>-2</v>
      </c>
      <c r="U6" s="12"/>
      <c r="V6" s="12"/>
      <c r="W6" s="13">
        <f t="shared" si="1"/>
        <v>7.333333333333333</v>
      </c>
      <c r="X6" s="14"/>
      <c r="Y6" s="14">
        <v>144</v>
      </c>
      <c r="Z6" s="14">
        <f t="shared" si="2"/>
        <v>144.15</v>
      </c>
      <c r="AA6" s="14">
        <f t="shared" si="3"/>
        <v>-0.15000000000000568</v>
      </c>
      <c r="AB6" s="14">
        <f t="shared" si="4"/>
        <v>0</v>
      </c>
      <c r="AC6" s="14">
        <v>0</v>
      </c>
      <c r="AD6" s="14"/>
      <c r="AE6" s="14">
        <v>6</v>
      </c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>
        <f t="shared" si="5"/>
        <v>0</v>
      </c>
      <c r="AR6" s="15"/>
      <c r="AS6" s="14"/>
      <c r="AT6" s="14"/>
      <c r="AU6" s="16"/>
      <c r="AV6" s="16"/>
    </row>
    <row r="7" spans="2:49" hidden="1" x14ac:dyDescent="0.25">
      <c r="B7" s="12" t="s">
        <v>36</v>
      </c>
      <c r="C7" s="19">
        <v>16</v>
      </c>
      <c r="D7" s="19">
        <v>16</v>
      </c>
      <c r="E7" s="19">
        <v>16</v>
      </c>
      <c r="F7" s="19">
        <v>16</v>
      </c>
      <c r="G7" s="19">
        <v>16</v>
      </c>
      <c r="H7" s="19">
        <v>16</v>
      </c>
      <c r="I7" s="19">
        <v>16</v>
      </c>
      <c r="J7" s="19">
        <v>16</v>
      </c>
      <c r="K7" s="19">
        <v>16</v>
      </c>
      <c r="L7" s="19">
        <v>16</v>
      </c>
      <c r="M7" s="19">
        <v>16</v>
      </c>
      <c r="N7" s="19">
        <v>16</v>
      </c>
      <c r="O7" s="12" t="s">
        <v>41</v>
      </c>
      <c r="P7" s="12"/>
      <c r="Q7" s="12" t="s">
        <v>37</v>
      </c>
      <c r="R7" s="12">
        <v>31</v>
      </c>
      <c r="S7" s="12">
        <v>20</v>
      </c>
      <c r="T7" s="12">
        <f t="shared" si="0"/>
        <v>11</v>
      </c>
      <c r="U7" s="12"/>
      <c r="V7" s="12">
        <v>2</v>
      </c>
      <c r="W7" s="13">
        <f t="shared" si="1"/>
        <v>3.3333333333333335</v>
      </c>
      <c r="X7" s="14"/>
      <c r="Y7" s="14">
        <v>128</v>
      </c>
      <c r="Z7" s="14">
        <f t="shared" si="2"/>
        <v>74.400000000000006</v>
      </c>
      <c r="AA7" s="14">
        <f t="shared" si="3"/>
        <v>53.599999999999994</v>
      </c>
      <c r="AB7" s="14">
        <f t="shared" si="4"/>
        <v>11</v>
      </c>
      <c r="AC7" s="14">
        <v>15</v>
      </c>
      <c r="AD7" s="14"/>
      <c r="AE7" s="14">
        <v>15</v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>
        <f t="shared" si="5"/>
        <v>0</v>
      </c>
      <c r="AR7" s="15"/>
      <c r="AS7" s="14"/>
      <c r="AT7" s="14"/>
      <c r="AU7" s="14"/>
      <c r="AV7" s="14"/>
    </row>
    <row r="8" spans="2:49" hidden="1" x14ac:dyDescent="0.25">
      <c r="B8" s="12" t="s">
        <v>36</v>
      </c>
      <c r="C8" s="19">
        <v>83</v>
      </c>
      <c r="D8" s="19">
        <v>83</v>
      </c>
      <c r="E8" s="19">
        <v>83</v>
      </c>
      <c r="F8" s="19">
        <v>83</v>
      </c>
      <c r="G8" s="19">
        <v>83</v>
      </c>
      <c r="H8" s="19">
        <v>83</v>
      </c>
      <c r="I8" s="19">
        <v>83</v>
      </c>
      <c r="J8" s="19">
        <v>83</v>
      </c>
      <c r="K8" s="19">
        <v>83</v>
      </c>
      <c r="L8" s="19">
        <v>83</v>
      </c>
      <c r="M8" s="19">
        <v>83</v>
      </c>
      <c r="N8" s="19">
        <v>83</v>
      </c>
      <c r="O8" s="12" t="s">
        <v>42</v>
      </c>
      <c r="P8" s="12"/>
      <c r="Q8" s="12" t="s">
        <v>37</v>
      </c>
      <c r="R8" s="12">
        <v>131</v>
      </c>
      <c r="S8" s="12">
        <v>116</v>
      </c>
      <c r="T8" s="12">
        <f t="shared" si="0"/>
        <v>15</v>
      </c>
      <c r="U8" s="12">
        <v>15</v>
      </c>
      <c r="V8" s="12">
        <v>15</v>
      </c>
      <c r="W8" s="13">
        <f t="shared" si="1"/>
        <v>19.333333333333332</v>
      </c>
      <c r="X8" s="14"/>
      <c r="Y8" s="14">
        <v>450</v>
      </c>
      <c r="Z8" s="14">
        <f t="shared" si="2"/>
        <v>385.95000000000005</v>
      </c>
      <c r="AA8" s="14">
        <f t="shared" si="3"/>
        <v>64.049999999999955</v>
      </c>
      <c r="AB8" s="14">
        <f t="shared" si="4"/>
        <v>13</v>
      </c>
      <c r="AC8" s="14">
        <v>17</v>
      </c>
      <c r="AD8" s="14"/>
      <c r="AE8" s="14">
        <v>121</v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>
        <f t="shared" si="5"/>
        <v>0</v>
      </c>
      <c r="AR8" s="15"/>
      <c r="AS8" s="14"/>
      <c r="AT8" s="14"/>
      <c r="AU8" s="16"/>
      <c r="AV8" s="16"/>
    </row>
    <row r="9" spans="2:49" hidden="1" x14ac:dyDescent="0.25">
      <c r="B9" s="12" t="s">
        <v>36</v>
      </c>
      <c r="C9" s="19">
        <v>83</v>
      </c>
      <c r="D9" s="19">
        <v>83</v>
      </c>
      <c r="E9" s="19">
        <v>83</v>
      </c>
      <c r="F9" s="19">
        <v>83</v>
      </c>
      <c r="G9" s="19">
        <v>83</v>
      </c>
      <c r="H9" s="19">
        <v>83</v>
      </c>
      <c r="I9" s="19">
        <v>83</v>
      </c>
      <c r="J9" s="19">
        <v>83</v>
      </c>
      <c r="K9" s="19">
        <v>83</v>
      </c>
      <c r="L9" s="19">
        <v>83</v>
      </c>
      <c r="M9" s="19">
        <v>83</v>
      </c>
      <c r="N9" s="19">
        <v>83</v>
      </c>
      <c r="O9" s="12" t="s">
        <v>43</v>
      </c>
      <c r="P9" s="12"/>
      <c r="Q9" s="12" t="s">
        <v>37</v>
      </c>
      <c r="R9" s="12">
        <v>112</v>
      </c>
      <c r="S9" s="12">
        <v>111</v>
      </c>
      <c r="T9" s="12">
        <f t="shared" si="0"/>
        <v>1</v>
      </c>
      <c r="U9" s="12"/>
      <c r="V9" s="12"/>
      <c r="W9" s="13">
        <f t="shared" si="1"/>
        <v>18.5</v>
      </c>
      <c r="X9" s="14"/>
      <c r="Y9" s="14">
        <v>415</v>
      </c>
      <c r="Z9" s="14">
        <f t="shared" si="2"/>
        <v>385.95000000000005</v>
      </c>
      <c r="AA9" s="14">
        <f t="shared" si="3"/>
        <v>29.049999999999955</v>
      </c>
      <c r="AB9" s="14">
        <f t="shared" si="4"/>
        <v>6</v>
      </c>
      <c r="AC9" s="14">
        <v>8</v>
      </c>
      <c r="AD9" s="14"/>
      <c r="AE9" s="14">
        <v>52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5">
        <f t="shared" si="5"/>
        <v>0</v>
      </c>
      <c r="AR9" s="15"/>
      <c r="AS9" s="14"/>
      <c r="AT9" s="14"/>
      <c r="AU9" s="16"/>
      <c r="AV9" s="16"/>
    </row>
    <row r="10" spans="2:49" hidden="1" x14ac:dyDescent="0.25">
      <c r="B10" s="12" t="s">
        <v>36</v>
      </c>
      <c r="C10" s="19">
        <v>71</v>
      </c>
      <c r="D10" s="19">
        <v>71</v>
      </c>
      <c r="E10" s="19">
        <v>71</v>
      </c>
      <c r="F10" s="19">
        <v>71</v>
      </c>
      <c r="G10" s="19">
        <v>71</v>
      </c>
      <c r="H10" s="19">
        <v>71</v>
      </c>
      <c r="I10" s="19">
        <v>71</v>
      </c>
      <c r="J10" s="19">
        <v>71</v>
      </c>
      <c r="K10" s="19">
        <v>71</v>
      </c>
      <c r="L10" s="19">
        <v>71</v>
      </c>
      <c r="M10" s="19">
        <v>71</v>
      </c>
      <c r="N10" s="19">
        <v>71</v>
      </c>
      <c r="O10" s="12" t="s">
        <v>44</v>
      </c>
      <c r="P10" s="12"/>
      <c r="Q10" s="12" t="s">
        <v>37</v>
      </c>
      <c r="R10" s="12">
        <v>114</v>
      </c>
      <c r="S10" s="12">
        <v>105</v>
      </c>
      <c r="T10" s="12">
        <f t="shared" si="0"/>
        <v>9</v>
      </c>
      <c r="U10" s="12"/>
      <c r="V10" s="12"/>
      <c r="W10" s="13">
        <f t="shared" si="1"/>
        <v>17.5</v>
      </c>
      <c r="X10" s="14"/>
      <c r="Y10" s="14">
        <v>353</v>
      </c>
      <c r="Z10" s="14">
        <f t="shared" si="2"/>
        <v>330.15000000000003</v>
      </c>
      <c r="AA10" s="14">
        <f t="shared" si="3"/>
        <v>22.849999999999966</v>
      </c>
      <c r="AB10" s="14">
        <f t="shared" si="4"/>
        <v>4</v>
      </c>
      <c r="AC10" s="14">
        <v>5</v>
      </c>
      <c r="AD10" s="14"/>
      <c r="AE10" s="14">
        <v>23</v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5">
        <f t="shared" si="5"/>
        <v>0</v>
      </c>
      <c r="AR10" s="15"/>
      <c r="AS10" s="14"/>
      <c r="AT10" s="14"/>
      <c r="AU10" s="16"/>
      <c r="AV10" s="16"/>
    </row>
    <row r="11" spans="2:49" hidden="1" x14ac:dyDescent="0.25">
      <c r="B11" s="12" t="s">
        <v>36</v>
      </c>
      <c r="C11" s="19">
        <v>50</v>
      </c>
      <c r="D11" s="19">
        <v>50</v>
      </c>
      <c r="E11" s="19">
        <v>50</v>
      </c>
      <c r="F11" s="19">
        <v>50</v>
      </c>
      <c r="G11" s="19">
        <v>50</v>
      </c>
      <c r="H11" s="19">
        <v>50</v>
      </c>
      <c r="I11" s="19">
        <v>50</v>
      </c>
      <c r="J11" s="19">
        <v>50</v>
      </c>
      <c r="K11" s="19">
        <v>50</v>
      </c>
      <c r="L11" s="19">
        <v>50</v>
      </c>
      <c r="M11" s="19">
        <v>50</v>
      </c>
      <c r="N11" s="19">
        <v>50</v>
      </c>
      <c r="O11" s="12" t="s">
        <v>45</v>
      </c>
      <c r="P11" s="12"/>
      <c r="Q11" s="12" t="s">
        <v>37</v>
      </c>
      <c r="R11" s="12">
        <v>80</v>
      </c>
      <c r="S11" s="12">
        <v>70</v>
      </c>
      <c r="T11" s="12">
        <f t="shared" si="0"/>
        <v>10</v>
      </c>
      <c r="U11" s="12"/>
      <c r="V11" s="12">
        <v>24</v>
      </c>
      <c r="W11" s="13">
        <f t="shared" si="1"/>
        <v>11.666666666666666</v>
      </c>
      <c r="X11" s="14"/>
      <c r="Y11" s="14">
        <v>230</v>
      </c>
      <c r="Z11" s="14">
        <f t="shared" si="2"/>
        <v>232.50000000000003</v>
      </c>
      <c r="AA11" s="14">
        <f t="shared" si="3"/>
        <v>-2.5000000000000284</v>
      </c>
      <c r="AB11" s="14">
        <f t="shared" si="4"/>
        <v>0</v>
      </c>
      <c r="AC11" s="14">
        <v>0</v>
      </c>
      <c r="AD11" s="14"/>
      <c r="AE11" s="14">
        <v>45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5"/>
      <c r="AR11" s="15"/>
      <c r="AS11" s="14"/>
      <c r="AT11" s="49"/>
      <c r="AU11" s="33"/>
      <c r="AV11" s="33"/>
    </row>
    <row r="12" spans="2:49" hidden="1" x14ac:dyDescent="0.25">
      <c r="B12" s="12" t="s">
        <v>36</v>
      </c>
      <c r="C12" s="19">
        <v>48</v>
      </c>
      <c r="D12" s="19">
        <v>48</v>
      </c>
      <c r="E12" s="19">
        <v>48</v>
      </c>
      <c r="F12" s="19">
        <v>48</v>
      </c>
      <c r="G12" s="19">
        <v>48</v>
      </c>
      <c r="H12" s="19">
        <v>48</v>
      </c>
      <c r="I12" s="19">
        <v>48</v>
      </c>
      <c r="J12" s="19">
        <v>48</v>
      </c>
      <c r="K12" s="19">
        <v>48</v>
      </c>
      <c r="L12" s="19">
        <v>48</v>
      </c>
      <c r="M12" s="19">
        <v>48</v>
      </c>
      <c r="N12" s="19">
        <v>48</v>
      </c>
      <c r="O12" s="12" t="s">
        <v>46</v>
      </c>
      <c r="P12" s="12"/>
      <c r="Q12" s="12" t="s">
        <v>37</v>
      </c>
      <c r="R12" s="12">
        <v>69</v>
      </c>
      <c r="S12" s="12">
        <v>70</v>
      </c>
      <c r="T12" s="12">
        <f t="shared" si="0"/>
        <v>-1</v>
      </c>
      <c r="U12" s="12"/>
      <c r="V12" s="12">
        <v>4</v>
      </c>
      <c r="W12" s="13">
        <f t="shared" si="1"/>
        <v>11.666666666666666</v>
      </c>
      <c r="X12" s="14"/>
      <c r="Y12" s="14">
        <v>198</v>
      </c>
      <c r="Z12" s="14">
        <f>C12*4.65</f>
        <v>223.20000000000002</v>
      </c>
      <c r="AA12" s="14">
        <f t="shared" si="3"/>
        <v>-25.200000000000017</v>
      </c>
      <c r="AB12" s="14">
        <f t="shared" si="4"/>
        <v>-5</v>
      </c>
      <c r="AC12" s="14">
        <v>-6</v>
      </c>
      <c r="AD12" s="14"/>
      <c r="AE12" s="14">
        <v>2</v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5"/>
      <c r="AR12" s="15"/>
      <c r="AS12" s="14"/>
      <c r="AT12" s="50"/>
      <c r="AU12" s="36"/>
      <c r="AV12" s="36"/>
    </row>
    <row r="13" spans="2:49" hidden="1" x14ac:dyDescent="0.25">
      <c r="B13" s="12" t="s">
        <v>36</v>
      </c>
      <c r="C13" s="45">
        <v>89</v>
      </c>
      <c r="D13" s="59">
        <v>89</v>
      </c>
      <c r="E13" s="59">
        <v>89</v>
      </c>
      <c r="F13" s="59">
        <v>89</v>
      </c>
      <c r="G13" s="59">
        <v>89</v>
      </c>
      <c r="H13" s="59">
        <v>89</v>
      </c>
      <c r="I13" s="59">
        <v>89</v>
      </c>
      <c r="J13" s="59">
        <v>89</v>
      </c>
      <c r="K13" s="59">
        <v>89</v>
      </c>
      <c r="L13" s="59">
        <v>89</v>
      </c>
      <c r="M13" s="59">
        <v>89</v>
      </c>
      <c r="N13" s="59">
        <v>89</v>
      </c>
      <c r="O13" s="12" t="s">
        <v>47</v>
      </c>
      <c r="P13" s="12"/>
      <c r="Q13" s="12" t="s">
        <v>37</v>
      </c>
      <c r="R13" s="12">
        <v>155</v>
      </c>
      <c r="S13" s="12">
        <v>122</v>
      </c>
      <c r="T13" s="41">
        <f t="shared" si="0"/>
        <v>33</v>
      </c>
      <c r="U13" s="12">
        <v>15</v>
      </c>
      <c r="V13" s="12">
        <v>28</v>
      </c>
      <c r="W13" s="13">
        <f t="shared" si="1"/>
        <v>20.333333333333332</v>
      </c>
      <c r="X13" s="14"/>
      <c r="Y13" s="14">
        <v>542</v>
      </c>
      <c r="Z13" s="14">
        <f t="shared" si="2"/>
        <v>413.85</v>
      </c>
      <c r="AA13" s="58">
        <f t="shared" si="3"/>
        <v>128.14999999999998</v>
      </c>
      <c r="AB13" s="14">
        <f t="shared" si="4"/>
        <v>27</v>
      </c>
      <c r="AC13" s="14">
        <v>36</v>
      </c>
      <c r="AD13" s="14"/>
      <c r="AE13" s="14">
        <v>119</v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5"/>
      <c r="AR13" s="15"/>
      <c r="AS13" s="14"/>
      <c r="AU13" s="25"/>
      <c r="AV13" s="25"/>
    </row>
    <row r="14" spans="2:49" x14ac:dyDescent="0.25">
      <c r="B14" s="12" t="s">
        <v>48</v>
      </c>
      <c r="C14" s="19">
        <v>99</v>
      </c>
      <c r="D14" s="19">
        <v>99</v>
      </c>
      <c r="E14" s="19">
        <v>99</v>
      </c>
      <c r="F14" s="19">
        <v>99</v>
      </c>
      <c r="G14" s="19">
        <v>99</v>
      </c>
      <c r="H14" s="19">
        <v>99</v>
      </c>
      <c r="I14" s="19">
        <v>99</v>
      </c>
      <c r="J14" s="19">
        <v>99</v>
      </c>
      <c r="K14" s="19">
        <v>99</v>
      </c>
      <c r="L14" s="19">
        <v>99</v>
      </c>
      <c r="M14" s="19">
        <v>99</v>
      </c>
      <c r="N14" s="19">
        <v>99</v>
      </c>
      <c r="O14" s="12" t="s">
        <v>49</v>
      </c>
      <c r="P14" s="12"/>
      <c r="Q14" s="12" t="s">
        <v>50</v>
      </c>
      <c r="R14" s="12">
        <v>129</v>
      </c>
      <c r="S14" s="12">
        <v>130</v>
      </c>
      <c r="T14" s="12">
        <f t="shared" ref="T14:T58" si="6">R14-S14</f>
        <v>-1</v>
      </c>
      <c r="U14" s="12"/>
      <c r="V14" s="12"/>
      <c r="W14" s="13">
        <v>21.5</v>
      </c>
      <c r="X14" s="14"/>
      <c r="Y14" s="17">
        <v>486</v>
      </c>
      <c r="Z14" s="14">
        <f t="shared" ref="Z14:Z58" si="7">C14*4.65</f>
        <v>460.35</v>
      </c>
      <c r="AA14" s="14">
        <f>Y14-Z14</f>
        <v>25.649999999999977</v>
      </c>
      <c r="AB14" s="14">
        <f>ROUNDDOWN(AA14/4.65,0)</f>
        <v>5</v>
      </c>
      <c r="AC14" s="14">
        <v>7</v>
      </c>
      <c r="AD14" s="14">
        <v>984</v>
      </c>
      <c r="AE14" s="14">
        <v>67</v>
      </c>
      <c r="AF14" s="18" t="s">
        <v>51</v>
      </c>
      <c r="AG14" s="14">
        <v>0.81</v>
      </c>
      <c r="AH14" s="14">
        <v>1.79</v>
      </c>
      <c r="AI14" s="14">
        <v>2023</v>
      </c>
      <c r="AJ14" s="14">
        <v>4</v>
      </c>
      <c r="AK14" s="14">
        <v>4</v>
      </c>
      <c r="AL14" s="14">
        <v>4</v>
      </c>
      <c r="AM14" s="14">
        <v>4</v>
      </c>
      <c r="AN14" s="14"/>
      <c r="AO14" s="14">
        <v>777</v>
      </c>
      <c r="AP14" s="14">
        <f>AO14*AD14</f>
        <v>764568</v>
      </c>
      <c r="AQ14" s="74">
        <v>4004155</v>
      </c>
      <c r="AR14" s="74">
        <f>Y14*1500</f>
        <v>729000</v>
      </c>
      <c r="AS14" s="14"/>
      <c r="AT14" s="14">
        <v>-443900</v>
      </c>
      <c r="AU14" s="16">
        <v>952100</v>
      </c>
      <c r="AV14" s="16">
        <v>15912400</v>
      </c>
      <c r="AW14" s="81"/>
    </row>
    <row r="15" spans="2:49" x14ac:dyDescent="0.25">
      <c r="B15" s="12" t="s">
        <v>48</v>
      </c>
      <c r="C15" s="19">
        <v>32</v>
      </c>
      <c r="D15" s="19">
        <v>32</v>
      </c>
      <c r="E15" s="19">
        <v>32</v>
      </c>
      <c r="F15" s="19">
        <v>32</v>
      </c>
      <c r="G15" s="19">
        <v>32</v>
      </c>
      <c r="H15" s="19">
        <v>32</v>
      </c>
      <c r="I15" s="19">
        <v>32</v>
      </c>
      <c r="J15" s="19">
        <v>32</v>
      </c>
      <c r="K15" s="19">
        <v>32</v>
      </c>
      <c r="L15" s="19">
        <v>32</v>
      </c>
      <c r="M15" s="19">
        <v>32</v>
      </c>
      <c r="N15" s="19">
        <v>32</v>
      </c>
      <c r="O15" s="19" t="s">
        <v>52</v>
      </c>
      <c r="P15" s="20"/>
      <c r="Q15" s="12" t="s">
        <v>50</v>
      </c>
      <c r="R15" s="12">
        <v>48</v>
      </c>
      <c r="S15" s="12">
        <v>45</v>
      </c>
      <c r="T15" s="12">
        <f t="shared" si="6"/>
        <v>3</v>
      </c>
      <c r="U15" s="12"/>
      <c r="V15" s="12"/>
      <c r="W15" s="13">
        <v>8</v>
      </c>
      <c r="X15" s="14"/>
      <c r="Y15" s="14">
        <v>260</v>
      </c>
      <c r="Z15" s="14">
        <f t="shared" si="7"/>
        <v>148.80000000000001</v>
      </c>
      <c r="AA15" s="14">
        <f t="shared" ref="AA15:AA58" si="8">Y15-Z15</f>
        <v>111.19999999999999</v>
      </c>
      <c r="AB15" s="14">
        <f>ROUNDDOWN(AA15/4.65,0)</f>
        <v>23</v>
      </c>
      <c r="AC15" s="14">
        <v>31</v>
      </c>
      <c r="AD15" s="14"/>
      <c r="AE15" s="14">
        <v>6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>
        <v>777</v>
      </c>
      <c r="AP15" s="14">
        <f>AO15*650</f>
        <v>505050</v>
      </c>
      <c r="AQ15" s="74">
        <v>3870366</v>
      </c>
      <c r="AR15" s="74">
        <f>Y15*1500</f>
        <v>390000</v>
      </c>
      <c r="AS15" s="14"/>
      <c r="AT15" s="14">
        <v>-171600</v>
      </c>
      <c r="AU15" s="16">
        <v>349300</v>
      </c>
      <c r="AV15" s="16">
        <v>6386100</v>
      </c>
      <c r="AW15" s="81"/>
    </row>
    <row r="16" spans="2:49" x14ac:dyDescent="0.25">
      <c r="B16" s="12" t="s">
        <v>53</v>
      </c>
      <c r="C16" s="19">
        <v>39</v>
      </c>
      <c r="D16" s="19">
        <v>39</v>
      </c>
      <c r="E16" s="19">
        <v>39</v>
      </c>
      <c r="F16" s="19">
        <v>39</v>
      </c>
      <c r="G16" s="19">
        <v>39</v>
      </c>
      <c r="H16" s="19">
        <v>39</v>
      </c>
      <c r="I16" s="19">
        <v>39</v>
      </c>
      <c r="J16" s="19">
        <v>39</v>
      </c>
      <c r="K16" s="19">
        <v>39</v>
      </c>
      <c r="L16" s="19">
        <v>39</v>
      </c>
      <c r="M16" s="19">
        <v>39</v>
      </c>
      <c r="N16" s="19">
        <v>39</v>
      </c>
      <c r="O16" s="12" t="s">
        <v>54</v>
      </c>
      <c r="P16" s="12"/>
      <c r="Q16" s="12" t="s">
        <v>50</v>
      </c>
      <c r="R16" s="12">
        <v>60</v>
      </c>
      <c r="S16" s="12">
        <v>55</v>
      </c>
      <c r="T16" s="12">
        <f t="shared" si="6"/>
        <v>5</v>
      </c>
      <c r="U16" s="12">
        <v>0</v>
      </c>
      <c r="V16" s="12">
        <v>0</v>
      </c>
      <c r="W16" s="13">
        <v>9.3000000000000007</v>
      </c>
      <c r="X16" s="14"/>
      <c r="Y16" s="17">
        <v>265</v>
      </c>
      <c r="Z16" s="14">
        <f t="shared" si="7"/>
        <v>181.35000000000002</v>
      </c>
      <c r="AA16" s="14">
        <f t="shared" si="8"/>
        <v>83.649999999999977</v>
      </c>
      <c r="AB16" s="14">
        <f>ROUNDDOWN(AA16/4.65,0)</f>
        <v>17</v>
      </c>
      <c r="AC16" s="14">
        <v>23</v>
      </c>
      <c r="AD16" s="14">
        <v>500</v>
      </c>
      <c r="AE16" s="14">
        <v>88</v>
      </c>
      <c r="AF16" s="18" t="s">
        <v>55</v>
      </c>
      <c r="AG16" s="14" t="s">
        <v>56</v>
      </c>
      <c r="AH16" s="14" t="s">
        <v>56</v>
      </c>
      <c r="AI16" s="14"/>
      <c r="AJ16" s="14">
        <v>3.3</v>
      </c>
      <c r="AK16" s="14">
        <v>3</v>
      </c>
      <c r="AL16" s="14">
        <v>4</v>
      </c>
      <c r="AM16" s="14">
        <v>3</v>
      </c>
      <c r="AN16" s="14"/>
      <c r="AO16" s="14">
        <v>777</v>
      </c>
      <c r="AP16" s="14">
        <f t="shared" ref="AP16:AP19" si="9">AO16*AD16</f>
        <v>388500</v>
      </c>
      <c r="AQ16" s="74"/>
      <c r="AR16" s="74"/>
      <c r="AS16" s="14"/>
      <c r="AT16">
        <v>-278000</v>
      </c>
      <c r="AU16" s="25">
        <v>555900</v>
      </c>
      <c r="AV16" s="25">
        <v>7010500</v>
      </c>
      <c r="AW16" s="81"/>
    </row>
    <row r="17" spans="2:49" ht="15.75" thickBot="1" x14ac:dyDescent="0.3">
      <c r="B17" s="12" t="s">
        <v>57</v>
      </c>
      <c r="C17" s="19">
        <v>102</v>
      </c>
      <c r="D17" s="19">
        <v>102</v>
      </c>
      <c r="E17" s="19">
        <v>102</v>
      </c>
      <c r="F17" s="19">
        <v>102</v>
      </c>
      <c r="G17" s="19">
        <v>102</v>
      </c>
      <c r="H17" s="19">
        <v>102</v>
      </c>
      <c r="I17" s="19">
        <v>102</v>
      </c>
      <c r="J17" s="19">
        <v>102</v>
      </c>
      <c r="K17" s="19">
        <v>102</v>
      </c>
      <c r="L17" s="19">
        <v>102</v>
      </c>
      <c r="M17" s="19">
        <v>102</v>
      </c>
      <c r="N17" s="19">
        <v>102</v>
      </c>
      <c r="O17" s="21" t="s">
        <v>58</v>
      </c>
      <c r="P17" s="12"/>
      <c r="Q17" s="12" t="s">
        <v>50</v>
      </c>
      <c r="R17" s="67">
        <v>150</v>
      </c>
      <c r="S17" s="12">
        <v>135</v>
      </c>
      <c r="T17" s="12">
        <f t="shared" si="6"/>
        <v>15</v>
      </c>
      <c r="U17" s="22" t="s">
        <v>59</v>
      </c>
      <c r="V17" s="12"/>
      <c r="W17" s="68">
        <v>24</v>
      </c>
      <c r="X17" s="14"/>
      <c r="Y17" s="17">
        <v>726</v>
      </c>
      <c r="Z17" s="14">
        <f t="shared" si="7"/>
        <v>474.3</v>
      </c>
      <c r="AA17" s="58">
        <f t="shared" si="8"/>
        <v>251.7</v>
      </c>
      <c r="AB17" s="14"/>
      <c r="AC17" s="14"/>
      <c r="AD17" s="23"/>
      <c r="AE17" s="14">
        <v>230</v>
      </c>
      <c r="AF17" s="18" t="s">
        <v>60</v>
      </c>
      <c r="AG17" s="14">
        <v>1.1599999999999999</v>
      </c>
      <c r="AH17" s="13">
        <v>2.1</v>
      </c>
      <c r="AI17" s="14">
        <v>2022</v>
      </c>
      <c r="AJ17" s="14">
        <v>3.6</v>
      </c>
      <c r="AK17" s="14">
        <v>4</v>
      </c>
      <c r="AL17" s="14">
        <v>3</v>
      </c>
      <c r="AM17" s="14">
        <v>4</v>
      </c>
      <c r="AN17" s="14"/>
      <c r="AO17" s="14">
        <v>777</v>
      </c>
      <c r="AP17" s="14">
        <f>600*AO17</f>
        <v>466200</v>
      </c>
      <c r="AQ17" s="75">
        <v>7918138</v>
      </c>
      <c r="AR17" s="74">
        <f>Y17*1500</f>
        <v>1089000</v>
      </c>
      <c r="AS17" s="14"/>
      <c r="AT17" s="14">
        <v>-590900</v>
      </c>
      <c r="AU17" s="16">
        <v>1274900</v>
      </c>
      <c r="AV17" s="16">
        <v>18929000</v>
      </c>
      <c r="AW17" s="81"/>
    </row>
    <row r="18" spans="2:49" ht="16.5" customHeight="1" x14ac:dyDescent="0.25">
      <c r="B18" s="12" t="s">
        <v>61</v>
      </c>
      <c r="C18" s="19">
        <v>21</v>
      </c>
      <c r="D18" s="19">
        <v>21</v>
      </c>
      <c r="E18" s="19">
        <v>21</v>
      </c>
      <c r="F18" s="19">
        <v>21</v>
      </c>
      <c r="G18" s="19">
        <v>21</v>
      </c>
      <c r="H18" s="19">
        <v>21</v>
      </c>
      <c r="I18" s="19">
        <v>21</v>
      </c>
      <c r="J18" s="19">
        <v>21</v>
      </c>
      <c r="K18" s="19">
        <v>21</v>
      </c>
      <c r="L18" s="19">
        <v>21</v>
      </c>
      <c r="M18" s="19">
        <v>21</v>
      </c>
      <c r="N18" s="19">
        <v>21</v>
      </c>
      <c r="O18" s="12" t="s">
        <v>62</v>
      </c>
      <c r="P18" s="12"/>
      <c r="Q18" s="61" t="s">
        <v>50</v>
      </c>
      <c r="R18" s="65">
        <v>47</v>
      </c>
      <c r="S18" s="62">
        <v>29</v>
      </c>
      <c r="T18" s="12">
        <f t="shared" si="6"/>
        <v>18</v>
      </c>
      <c r="U18" s="12">
        <v>0</v>
      </c>
      <c r="V18" s="61"/>
      <c r="W18" s="70">
        <v>8.0500000000000007</v>
      </c>
      <c r="X18" s="53"/>
      <c r="Y18" s="17">
        <v>161</v>
      </c>
      <c r="Z18" s="14">
        <f t="shared" si="7"/>
        <v>97.65</v>
      </c>
      <c r="AA18" s="14">
        <f t="shared" si="8"/>
        <v>63.349999999999994</v>
      </c>
      <c r="AB18" s="14">
        <f t="shared" ref="AB18:AB26" si="10">ROUNDDOWN(AA18/4.65,0)</f>
        <v>13</v>
      </c>
      <c r="AC18" s="14">
        <v>17</v>
      </c>
      <c r="AD18" s="14">
        <v>308</v>
      </c>
      <c r="AE18" s="14">
        <v>47</v>
      </c>
      <c r="AF18" s="18">
        <v>1990</v>
      </c>
      <c r="AG18" s="14">
        <v>1.0900000000000001</v>
      </c>
      <c r="AH18" s="14">
        <v>2.64</v>
      </c>
      <c r="AI18" s="14">
        <v>2028</v>
      </c>
      <c r="AJ18" s="14">
        <v>3.3</v>
      </c>
      <c r="AK18" s="14">
        <v>3</v>
      </c>
      <c r="AL18" s="14">
        <v>4</v>
      </c>
      <c r="AM18" s="14">
        <v>3</v>
      </c>
      <c r="AN18" s="14"/>
      <c r="AO18" s="52">
        <v>777</v>
      </c>
      <c r="AP18" s="14">
        <f t="shared" si="9"/>
        <v>239316</v>
      </c>
      <c r="AQ18" s="76"/>
      <c r="AR18" s="74"/>
      <c r="AS18" s="53"/>
      <c r="AT18" s="14"/>
      <c r="AU18" s="24"/>
      <c r="AV18" s="56"/>
      <c r="AW18" s="81"/>
    </row>
    <row r="19" spans="2:49" ht="15.75" thickBot="1" x14ac:dyDescent="0.3">
      <c r="B19" s="12" t="s">
        <v>61</v>
      </c>
      <c r="C19" s="19">
        <v>11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2" t="s">
        <v>63</v>
      </c>
      <c r="P19" s="12"/>
      <c r="Q19" s="61" t="s">
        <v>50</v>
      </c>
      <c r="R19" s="66"/>
      <c r="S19" s="62">
        <v>16</v>
      </c>
      <c r="T19" s="42">
        <f t="shared" si="6"/>
        <v>-16</v>
      </c>
      <c r="U19" s="12">
        <v>0</v>
      </c>
      <c r="V19" s="61">
        <v>2</v>
      </c>
      <c r="W19" s="71">
        <v>0</v>
      </c>
      <c r="X19" s="53"/>
      <c r="Y19" s="17">
        <v>133</v>
      </c>
      <c r="Z19" s="14">
        <f t="shared" si="7"/>
        <v>51.150000000000006</v>
      </c>
      <c r="AA19" s="14">
        <f t="shared" si="8"/>
        <v>81.849999999999994</v>
      </c>
      <c r="AB19" s="14">
        <f t="shared" si="10"/>
        <v>17</v>
      </c>
      <c r="AC19" s="14">
        <v>23</v>
      </c>
      <c r="AD19" s="14">
        <v>278</v>
      </c>
      <c r="AE19" s="14">
        <v>20</v>
      </c>
      <c r="AF19" s="18">
        <v>1992</v>
      </c>
      <c r="AG19" s="14">
        <v>1.21</v>
      </c>
      <c r="AH19" s="14">
        <v>2.4300000000000002</v>
      </c>
      <c r="AI19" s="14">
        <v>2023</v>
      </c>
      <c r="AJ19" s="14">
        <v>3.3</v>
      </c>
      <c r="AK19" s="14">
        <v>3</v>
      </c>
      <c r="AL19" s="14">
        <v>4</v>
      </c>
      <c r="AM19" s="14">
        <v>3</v>
      </c>
      <c r="AN19" s="14"/>
      <c r="AO19" s="52">
        <v>777</v>
      </c>
      <c r="AP19" s="14">
        <f t="shared" si="9"/>
        <v>216006</v>
      </c>
      <c r="AQ19" s="77"/>
      <c r="AR19" s="74"/>
      <c r="AS19" s="53"/>
      <c r="AT19" s="14">
        <v>-288900</v>
      </c>
      <c r="AU19" s="24">
        <v>617200</v>
      </c>
      <c r="AV19" s="56">
        <v>9197300</v>
      </c>
      <c r="AW19" s="81"/>
    </row>
    <row r="20" spans="2:49" hidden="1" x14ac:dyDescent="0.25">
      <c r="B20" s="12" t="s">
        <v>61</v>
      </c>
      <c r="C20" s="19">
        <v>94</v>
      </c>
      <c r="D20" s="19">
        <v>94</v>
      </c>
      <c r="E20" s="19">
        <v>94</v>
      </c>
      <c r="F20" s="19">
        <v>94</v>
      </c>
      <c r="G20" s="19">
        <v>94</v>
      </c>
      <c r="H20" s="19">
        <v>94</v>
      </c>
      <c r="I20" s="19">
        <v>94</v>
      </c>
      <c r="J20" s="19">
        <v>94</v>
      </c>
      <c r="K20" s="19">
        <v>94</v>
      </c>
      <c r="L20" s="19">
        <v>94</v>
      </c>
      <c r="M20" s="19">
        <v>94</v>
      </c>
      <c r="N20" s="19">
        <v>94</v>
      </c>
      <c r="O20" s="12" t="s">
        <v>64</v>
      </c>
      <c r="P20" s="12"/>
      <c r="Q20" s="12" t="s">
        <v>37</v>
      </c>
      <c r="R20" s="64">
        <v>140</v>
      </c>
      <c r="S20" s="12">
        <v>129</v>
      </c>
      <c r="T20" s="12">
        <f t="shared" si="6"/>
        <v>11</v>
      </c>
      <c r="U20" s="12"/>
      <c r="V20" s="12"/>
      <c r="W20" s="69">
        <f>S20/6</f>
        <v>21.5</v>
      </c>
      <c r="X20" s="14"/>
      <c r="Y20" s="14">
        <v>418</v>
      </c>
      <c r="Z20" s="14">
        <f t="shared" si="7"/>
        <v>437.1</v>
      </c>
      <c r="AA20" s="14">
        <f t="shared" si="8"/>
        <v>-19.100000000000023</v>
      </c>
      <c r="AB20" s="14">
        <f t="shared" si="10"/>
        <v>-4</v>
      </c>
      <c r="AC20" s="14">
        <v>-5</v>
      </c>
      <c r="AD20" s="14"/>
      <c r="AE20" s="14">
        <v>27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50"/>
      <c r="AQ20" s="54"/>
      <c r="AR20" s="54"/>
      <c r="AS20" s="14"/>
      <c r="AT20" s="14"/>
      <c r="AU20" s="16"/>
      <c r="AV20" s="16"/>
      <c r="AW20" s="81"/>
    </row>
    <row r="21" spans="2:49" hidden="1" x14ac:dyDescent="0.25">
      <c r="B21" s="12" t="s">
        <v>61</v>
      </c>
      <c r="C21" s="19">
        <v>25</v>
      </c>
      <c r="D21" s="19">
        <v>25</v>
      </c>
      <c r="E21" s="19">
        <v>25</v>
      </c>
      <c r="F21" s="19">
        <v>25</v>
      </c>
      <c r="G21" s="19">
        <v>25</v>
      </c>
      <c r="H21" s="19">
        <v>25</v>
      </c>
      <c r="I21" s="19">
        <v>25</v>
      </c>
      <c r="J21" s="19">
        <v>25</v>
      </c>
      <c r="K21" s="19">
        <v>25</v>
      </c>
      <c r="L21" s="19">
        <v>25</v>
      </c>
      <c r="M21" s="19">
        <v>25</v>
      </c>
      <c r="N21" s="19">
        <v>25</v>
      </c>
      <c r="O21" s="12" t="s">
        <v>65</v>
      </c>
      <c r="P21" s="12"/>
      <c r="Q21" s="12" t="s">
        <v>37</v>
      </c>
      <c r="R21" s="12">
        <v>56</v>
      </c>
      <c r="S21" s="12">
        <v>37</v>
      </c>
      <c r="T21" s="41">
        <f t="shared" si="6"/>
        <v>19</v>
      </c>
      <c r="U21" s="12"/>
      <c r="V21" s="12">
        <v>14</v>
      </c>
      <c r="W21" s="13">
        <f>S21/6</f>
        <v>6.166666666666667</v>
      </c>
      <c r="X21" s="14"/>
      <c r="Y21" s="14">
        <v>161</v>
      </c>
      <c r="Z21" s="14">
        <f t="shared" si="7"/>
        <v>116.25000000000001</v>
      </c>
      <c r="AA21" s="14">
        <f t="shared" si="8"/>
        <v>44.749999999999986</v>
      </c>
      <c r="AB21" s="14">
        <f t="shared" si="10"/>
        <v>9</v>
      </c>
      <c r="AC21" s="14">
        <v>12</v>
      </c>
      <c r="AD21" s="14"/>
      <c r="AE21" s="14">
        <v>14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5"/>
      <c r="AR21" s="15"/>
      <c r="AS21" s="14"/>
      <c r="AT21" s="14"/>
      <c r="AU21" s="16"/>
      <c r="AV21" s="16"/>
      <c r="AW21" s="81"/>
    </row>
    <row r="22" spans="2:49" hidden="1" x14ac:dyDescent="0.25">
      <c r="B22" s="12" t="s">
        <v>61</v>
      </c>
      <c r="C22" s="19">
        <v>69</v>
      </c>
      <c r="D22" s="19">
        <v>69</v>
      </c>
      <c r="E22" s="19">
        <v>69</v>
      </c>
      <c r="F22" s="19">
        <v>69</v>
      </c>
      <c r="G22" s="19">
        <v>69</v>
      </c>
      <c r="H22" s="19">
        <v>69</v>
      </c>
      <c r="I22" s="19">
        <v>69</v>
      </c>
      <c r="J22" s="19">
        <v>69</v>
      </c>
      <c r="K22" s="19">
        <v>69</v>
      </c>
      <c r="L22" s="19">
        <v>69</v>
      </c>
      <c r="M22" s="19">
        <v>69</v>
      </c>
      <c r="N22" s="19">
        <v>69</v>
      </c>
      <c r="O22" s="12" t="s">
        <v>66</v>
      </c>
      <c r="P22" s="12"/>
      <c r="Q22" s="12" t="s">
        <v>37</v>
      </c>
      <c r="R22" s="12">
        <v>104</v>
      </c>
      <c r="S22" s="12">
        <v>96</v>
      </c>
      <c r="T22" s="12">
        <f t="shared" si="6"/>
        <v>8</v>
      </c>
      <c r="U22" s="12"/>
      <c r="V22" s="12">
        <v>7</v>
      </c>
      <c r="W22" s="13">
        <f>S22/6</f>
        <v>16</v>
      </c>
      <c r="X22" s="14"/>
      <c r="Y22" s="14">
        <v>300</v>
      </c>
      <c r="Z22" s="14">
        <f t="shared" si="7"/>
        <v>320.85000000000002</v>
      </c>
      <c r="AA22" s="14">
        <f t="shared" si="8"/>
        <v>-20.850000000000023</v>
      </c>
      <c r="AB22" s="14">
        <f t="shared" si="10"/>
        <v>-4</v>
      </c>
      <c r="AC22" s="14">
        <v>-5</v>
      </c>
      <c r="AD22" s="14"/>
      <c r="AE22" s="14">
        <v>26</v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5"/>
      <c r="AR22" s="15"/>
      <c r="AS22" s="14"/>
      <c r="AT22" s="14"/>
      <c r="AU22" s="16"/>
      <c r="AV22" s="16"/>
      <c r="AW22" s="81"/>
    </row>
    <row r="23" spans="2:49" hidden="1" x14ac:dyDescent="0.25">
      <c r="B23" s="12" t="s">
        <v>61</v>
      </c>
      <c r="C23" s="19">
        <v>69</v>
      </c>
      <c r="D23" s="19">
        <v>69</v>
      </c>
      <c r="E23" s="19">
        <v>69</v>
      </c>
      <c r="F23" s="19">
        <v>69</v>
      </c>
      <c r="G23" s="19">
        <v>69</v>
      </c>
      <c r="H23" s="19">
        <v>69</v>
      </c>
      <c r="I23" s="19">
        <v>69</v>
      </c>
      <c r="J23" s="19">
        <v>69</v>
      </c>
      <c r="K23" s="19">
        <v>69</v>
      </c>
      <c r="L23" s="19">
        <v>69</v>
      </c>
      <c r="M23" s="19">
        <v>69</v>
      </c>
      <c r="N23" s="19">
        <v>69</v>
      </c>
      <c r="O23" s="12" t="s">
        <v>67</v>
      </c>
      <c r="P23" s="12"/>
      <c r="Q23" s="12" t="s">
        <v>37</v>
      </c>
      <c r="R23" s="12">
        <v>96</v>
      </c>
      <c r="S23" s="12">
        <v>94</v>
      </c>
      <c r="T23" s="12">
        <f t="shared" si="6"/>
        <v>2</v>
      </c>
      <c r="U23" s="12"/>
      <c r="V23" s="12"/>
      <c r="W23" s="13">
        <f>S23/6</f>
        <v>15.666666666666666</v>
      </c>
      <c r="X23" s="14"/>
      <c r="Y23" s="14">
        <v>399</v>
      </c>
      <c r="Z23" s="14">
        <f t="shared" si="7"/>
        <v>320.85000000000002</v>
      </c>
      <c r="AA23" s="14">
        <f t="shared" si="8"/>
        <v>78.149999999999977</v>
      </c>
      <c r="AB23" s="14">
        <f t="shared" si="10"/>
        <v>16</v>
      </c>
      <c r="AC23" s="14">
        <v>22</v>
      </c>
      <c r="AD23" s="14"/>
      <c r="AE23" s="14">
        <v>64</v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5"/>
      <c r="AR23" s="15"/>
      <c r="AS23" s="14"/>
      <c r="AT23" s="14"/>
      <c r="AU23" s="14"/>
      <c r="AV23" s="14"/>
      <c r="AW23" s="81"/>
    </row>
    <row r="24" spans="2:49" hidden="1" x14ac:dyDescent="0.25">
      <c r="B24" s="12" t="s">
        <v>61</v>
      </c>
      <c r="C24" s="19">
        <v>29</v>
      </c>
      <c r="D24" s="19">
        <v>29</v>
      </c>
      <c r="E24" s="19">
        <v>29</v>
      </c>
      <c r="F24" s="19">
        <v>29</v>
      </c>
      <c r="G24" s="19">
        <v>29</v>
      </c>
      <c r="H24" s="19">
        <v>29</v>
      </c>
      <c r="I24" s="19">
        <v>29</v>
      </c>
      <c r="J24" s="19">
        <v>29</v>
      </c>
      <c r="K24" s="19">
        <v>29</v>
      </c>
      <c r="L24" s="19">
        <v>29</v>
      </c>
      <c r="M24" s="19">
        <v>29</v>
      </c>
      <c r="N24" s="19">
        <v>29</v>
      </c>
      <c r="O24" s="12" t="s">
        <v>68</v>
      </c>
      <c r="P24" s="12"/>
      <c r="Q24" s="12" t="s">
        <v>37</v>
      </c>
      <c r="R24" s="12">
        <v>48</v>
      </c>
      <c r="S24" s="12">
        <v>41</v>
      </c>
      <c r="T24" s="12">
        <f t="shared" si="6"/>
        <v>7</v>
      </c>
      <c r="U24" s="12"/>
      <c r="V24" s="12"/>
      <c r="W24" s="13">
        <f>S24/6</f>
        <v>6.833333333333333</v>
      </c>
      <c r="X24" s="14"/>
      <c r="Y24" s="14">
        <v>198</v>
      </c>
      <c r="Z24" s="14">
        <f t="shared" si="7"/>
        <v>134.85000000000002</v>
      </c>
      <c r="AA24" s="14">
        <f t="shared" si="8"/>
        <v>63.149999999999977</v>
      </c>
      <c r="AB24" s="14">
        <f t="shared" si="10"/>
        <v>13</v>
      </c>
      <c r="AC24" s="14">
        <v>18</v>
      </c>
      <c r="AD24" s="14"/>
      <c r="AE24" s="14">
        <v>37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5"/>
      <c r="AR24" s="15"/>
      <c r="AS24" s="14"/>
      <c r="AT24" s="14"/>
      <c r="AU24" s="14"/>
      <c r="AV24" s="14"/>
      <c r="AW24" s="81"/>
    </row>
    <row r="25" spans="2:49" x14ac:dyDescent="0.25">
      <c r="B25" s="12" t="s">
        <v>61</v>
      </c>
      <c r="C25" s="19">
        <v>42</v>
      </c>
      <c r="D25" s="19">
        <v>42</v>
      </c>
      <c r="E25" s="19">
        <v>42</v>
      </c>
      <c r="F25" s="19">
        <v>42</v>
      </c>
      <c r="G25" s="19">
        <v>42</v>
      </c>
      <c r="H25" s="19">
        <v>42</v>
      </c>
      <c r="I25" s="19">
        <v>42</v>
      </c>
      <c r="J25" s="19">
        <v>42</v>
      </c>
      <c r="K25" s="19">
        <v>42</v>
      </c>
      <c r="L25" s="19">
        <v>42</v>
      </c>
      <c r="M25" s="19">
        <v>42</v>
      </c>
      <c r="N25" s="19">
        <v>42</v>
      </c>
      <c r="O25" s="12" t="s">
        <v>69</v>
      </c>
      <c r="P25" s="12"/>
      <c r="Q25" s="12" t="s">
        <v>50</v>
      </c>
      <c r="R25" s="12">
        <v>69</v>
      </c>
      <c r="S25" s="12">
        <v>59</v>
      </c>
      <c r="T25" s="44">
        <f t="shared" si="6"/>
        <v>10</v>
      </c>
      <c r="U25" s="12">
        <v>0</v>
      </c>
      <c r="V25" s="12">
        <v>5</v>
      </c>
      <c r="W25" s="13">
        <v>11.5</v>
      </c>
      <c r="X25" s="14"/>
      <c r="Y25" s="17">
        <v>245</v>
      </c>
      <c r="Z25" s="14">
        <f t="shared" si="7"/>
        <v>195.3</v>
      </c>
      <c r="AA25" s="14">
        <f t="shared" si="8"/>
        <v>49.699999999999989</v>
      </c>
      <c r="AB25" s="14">
        <f t="shared" si="10"/>
        <v>10</v>
      </c>
      <c r="AC25" s="14">
        <v>14</v>
      </c>
      <c r="AD25" s="14">
        <v>1026</v>
      </c>
      <c r="AE25" s="14">
        <v>15</v>
      </c>
      <c r="AF25" s="18">
        <v>1982</v>
      </c>
      <c r="AG25" s="14">
        <v>0.92</v>
      </c>
      <c r="AH25" s="14">
        <v>1.86</v>
      </c>
      <c r="AI25" s="14">
        <v>2026</v>
      </c>
      <c r="AJ25" s="14">
        <v>2.2999999999999998</v>
      </c>
      <c r="AK25" s="14">
        <v>3</v>
      </c>
      <c r="AL25" s="14">
        <v>1</v>
      </c>
      <c r="AM25" s="14">
        <v>3</v>
      </c>
      <c r="AN25" s="14"/>
      <c r="AO25" s="14">
        <v>777</v>
      </c>
      <c r="AP25" s="14">
        <f t="shared" ref="AP25:AP28" si="11">AO25*AD25</f>
        <v>797202</v>
      </c>
      <c r="AQ25" s="74">
        <v>13787454</v>
      </c>
      <c r="AR25" s="74">
        <f>Y25*1500</f>
        <v>367500</v>
      </c>
      <c r="AS25" s="14"/>
      <c r="AT25" s="14">
        <v>-210100</v>
      </c>
      <c r="AU25" s="16">
        <v>488200</v>
      </c>
      <c r="AV25" s="16">
        <v>8491600</v>
      </c>
      <c r="AW25" s="81"/>
    </row>
    <row r="26" spans="2:49" x14ac:dyDescent="0.25">
      <c r="B26" s="12" t="s">
        <v>48</v>
      </c>
      <c r="C26" s="45">
        <v>41</v>
      </c>
      <c r="D26" s="59">
        <v>41</v>
      </c>
      <c r="E26" s="59">
        <v>41</v>
      </c>
      <c r="F26" s="59">
        <v>41</v>
      </c>
      <c r="G26" s="59">
        <v>41</v>
      </c>
      <c r="H26" s="59">
        <v>41</v>
      </c>
      <c r="I26" s="59">
        <v>41</v>
      </c>
      <c r="J26" s="59">
        <v>41</v>
      </c>
      <c r="K26" s="59">
        <v>41</v>
      </c>
      <c r="L26" s="59">
        <v>41</v>
      </c>
      <c r="M26" s="59">
        <v>41</v>
      </c>
      <c r="N26" s="59">
        <v>41</v>
      </c>
      <c r="O26" s="12" t="s">
        <v>70</v>
      </c>
      <c r="P26" s="12"/>
      <c r="Q26" s="12" t="s">
        <v>50</v>
      </c>
      <c r="R26" s="12">
        <v>69</v>
      </c>
      <c r="S26" s="12">
        <v>55</v>
      </c>
      <c r="T26" s="41">
        <f t="shared" si="6"/>
        <v>14</v>
      </c>
      <c r="U26" s="12">
        <v>19</v>
      </c>
      <c r="V26" s="12">
        <v>29</v>
      </c>
      <c r="W26" s="13">
        <v>12.5</v>
      </c>
      <c r="X26" s="14"/>
      <c r="Y26" s="17">
        <v>350</v>
      </c>
      <c r="Z26" s="14">
        <f t="shared" si="7"/>
        <v>190.65</v>
      </c>
      <c r="AA26" s="58">
        <f t="shared" si="8"/>
        <v>159.35</v>
      </c>
      <c r="AB26" s="14">
        <f t="shared" si="10"/>
        <v>34</v>
      </c>
      <c r="AC26" s="14">
        <v>46</v>
      </c>
      <c r="AD26" s="14">
        <v>665</v>
      </c>
      <c r="AE26" s="14">
        <v>51</v>
      </c>
      <c r="AF26" s="18">
        <v>2008</v>
      </c>
      <c r="AG26" s="14">
        <v>0.91</v>
      </c>
      <c r="AH26" s="14">
        <v>1.57</v>
      </c>
      <c r="AI26" s="14">
        <v>2027</v>
      </c>
      <c r="AJ26" s="14">
        <v>3.6</v>
      </c>
      <c r="AK26" s="14">
        <v>4</v>
      </c>
      <c r="AL26" s="14">
        <v>4</v>
      </c>
      <c r="AM26" s="14">
        <v>3</v>
      </c>
      <c r="AN26" s="14"/>
      <c r="AO26" s="14">
        <v>777</v>
      </c>
      <c r="AP26" s="14">
        <f t="shared" si="11"/>
        <v>516705</v>
      </c>
      <c r="AQ26" s="74">
        <v>3026902</v>
      </c>
      <c r="AR26" s="74">
        <f>Y26*1500</f>
        <v>525000</v>
      </c>
      <c r="AS26" s="14"/>
      <c r="AT26" s="14">
        <v>-362900</v>
      </c>
      <c r="AU26" s="16">
        <v>749200</v>
      </c>
      <c r="AV26" s="16">
        <v>9472100</v>
      </c>
      <c r="AW26" s="81"/>
    </row>
    <row r="27" spans="2:49" x14ac:dyDescent="0.25">
      <c r="B27" s="12" t="s">
        <v>71</v>
      </c>
      <c r="C27" s="19">
        <v>7</v>
      </c>
      <c r="D27" s="19">
        <v>7</v>
      </c>
      <c r="E27" s="19">
        <v>7</v>
      </c>
      <c r="F27" s="19">
        <v>7</v>
      </c>
      <c r="G27" s="19">
        <v>7</v>
      </c>
      <c r="H27" s="19">
        <v>7</v>
      </c>
      <c r="I27" s="19">
        <v>7</v>
      </c>
      <c r="J27" s="19">
        <v>7</v>
      </c>
      <c r="K27" s="19">
        <v>7</v>
      </c>
      <c r="L27" s="19">
        <v>7</v>
      </c>
      <c r="M27" s="19">
        <v>7</v>
      </c>
      <c r="N27" s="19">
        <v>7</v>
      </c>
      <c r="O27" s="21" t="s">
        <v>72</v>
      </c>
      <c r="P27" s="12"/>
      <c r="Q27" s="12" t="s">
        <v>50</v>
      </c>
      <c r="R27" s="12">
        <v>14</v>
      </c>
      <c r="S27" s="12">
        <v>10</v>
      </c>
      <c r="T27" s="12">
        <f t="shared" si="6"/>
        <v>4</v>
      </c>
      <c r="U27" s="12">
        <v>20</v>
      </c>
      <c r="V27" s="12">
        <v>25</v>
      </c>
      <c r="W27" s="13">
        <v>2.85</v>
      </c>
      <c r="X27" s="14"/>
      <c r="Y27" s="17">
        <v>170</v>
      </c>
      <c r="Z27" s="14">
        <f t="shared" si="7"/>
        <v>32.550000000000004</v>
      </c>
      <c r="AA27" s="58">
        <f t="shared" si="8"/>
        <v>137.44999999999999</v>
      </c>
      <c r="AB27" s="23"/>
      <c r="AC27" s="14">
        <f t="shared" ref="AC27:AC57" si="12">(0.35*AB27*2)+0.65*AB27</f>
        <v>0</v>
      </c>
      <c r="AD27" s="23"/>
      <c r="AE27" s="14">
        <v>123</v>
      </c>
      <c r="AF27" s="18">
        <v>2009</v>
      </c>
      <c r="AG27" s="14">
        <v>0.95</v>
      </c>
      <c r="AH27" s="14">
        <v>2</v>
      </c>
      <c r="AI27" s="14">
        <v>2022</v>
      </c>
      <c r="AJ27" s="14"/>
      <c r="AK27" s="14"/>
      <c r="AL27" s="14"/>
      <c r="AM27" s="14"/>
      <c r="AN27" s="14"/>
      <c r="AO27" s="14">
        <v>777</v>
      </c>
      <c r="AP27" s="14">
        <f>AO27*300</f>
        <v>233100</v>
      </c>
      <c r="AQ27" s="74"/>
      <c r="AR27" s="74"/>
      <c r="AS27" s="14"/>
      <c r="AT27" s="14">
        <v>-315200</v>
      </c>
      <c r="AU27" s="16">
        <v>71600</v>
      </c>
      <c r="AV27" s="16">
        <v>2485200</v>
      </c>
      <c r="AW27" s="81"/>
    </row>
    <row r="28" spans="2:49" ht="14.45" customHeight="1" x14ac:dyDescent="0.25">
      <c r="B28" s="12" t="s">
        <v>57</v>
      </c>
      <c r="C28" s="19">
        <v>54</v>
      </c>
      <c r="D28" s="19">
        <v>54</v>
      </c>
      <c r="E28" s="19">
        <v>54</v>
      </c>
      <c r="F28" s="19">
        <v>54</v>
      </c>
      <c r="G28" s="19">
        <v>54</v>
      </c>
      <c r="H28" s="19">
        <v>54</v>
      </c>
      <c r="I28" s="19">
        <v>54</v>
      </c>
      <c r="J28" s="19">
        <v>54</v>
      </c>
      <c r="K28" s="19">
        <v>54</v>
      </c>
      <c r="L28" s="19">
        <v>54</v>
      </c>
      <c r="M28" s="19">
        <v>54</v>
      </c>
      <c r="N28" s="19">
        <v>54</v>
      </c>
      <c r="O28" s="21" t="s">
        <v>73</v>
      </c>
      <c r="P28" s="12"/>
      <c r="Q28" s="12" t="s">
        <v>50</v>
      </c>
      <c r="R28" s="12">
        <v>72</v>
      </c>
      <c r="S28" s="12">
        <v>75</v>
      </c>
      <c r="T28" s="12">
        <f t="shared" si="6"/>
        <v>-3</v>
      </c>
      <c r="U28" s="12"/>
      <c r="V28" s="12"/>
      <c r="W28" s="13">
        <v>13</v>
      </c>
      <c r="X28" s="14"/>
      <c r="Y28" s="17">
        <v>379</v>
      </c>
      <c r="Z28" s="14">
        <f t="shared" si="7"/>
        <v>251.10000000000002</v>
      </c>
      <c r="AA28" s="14">
        <f t="shared" si="8"/>
        <v>127.89999999999998</v>
      </c>
      <c r="AB28" s="14">
        <f t="shared" ref="AB28:AB37" si="13">ROUNDDOWN(AA28/4.65,0)</f>
        <v>27</v>
      </c>
      <c r="AC28" s="14">
        <v>36</v>
      </c>
      <c r="AD28" s="23">
        <v>864</v>
      </c>
      <c r="AE28" s="14">
        <v>15</v>
      </c>
      <c r="AF28" s="18" t="s">
        <v>74</v>
      </c>
      <c r="AG28" s="14">
        <v>1.24</v>
      </c>
      <c r="AH28" s="14">
        <v>2.29</v>
      </c>
      <c r="AI28" s="14">
        <v>2024</v>
      </c>
      <c r="AJ28" s="14">
        <v>2.6</v>
      </c>
      <c r="AK28" s="14">
        <v>2</v>
      </c>
      <c r="AL28" s="14">
        <v>3</v>
      </c>
      <c r="AM28" s="14">
        <v>3</v>
      </c>
      <c r="AN28" s="14"/>
      <c r="AO28" s="14">
        <v>777</v>
      </c>
      <c r="AP28" s="14">
        <f t="shared" si="11"/>
        <v>671328</v>
      </c>
      <c r="AQ28" s="74"/>
      <c r="AR28" s="74"/>
      <c r="AS28" s="14"/>
      <c r="AT28" s="14">
        <v>-287400</v>
      </c>
      <c r="AU28" s="16">
        <v>615500</v>
      </c>
      <c r="AV28" s="16">
        <v>10182600</v>
      </c>
      <c r="AW28" s="81"/>
    </row>
    <row r="29" spans="2:49" hidden="1" x14ac:dyDescent="0.25">
      <c r="B29" s="12" t="s">
        <v>53</v>
      </c>
      <c r="C29" s="19">
        <v>69</v>
      </c>
      <c r="D29" s="59">
        <v>69</v>
      </c>
      <c r="E29" s="59">
        <v>69</v>
      </c>
      <c r="F29" s="59">
        <v>69</v>
      </c>
      <c r="G29" s="59">
        <v>69</v>
      </c>
      <c r="H29" s="59">
        <v>69</v>
      </c>
      <c r="I29" s="59">
        <v>69</v>
      </c>
      <c r="J29" s="59">
        <v>69</v>
      </c>
      <c r="K29" s="59">
        <v>69</v>
      </c>
      <c r="L29" s="59">
        <v>69</v>
      </c>
      <c r="M29" s="59">
        <v>69</v>
      </c>
      <c r="N29" s="59">
        <v>69</v>
      </c>
      <c r="O29" s="12" t="s">
        <v>75</v>
      </c>
      <c r="P29" s="12"/>
      <c r="Q29" s="12" t="s">
        <v>37</v>
      </c>
      <c r="R29" s="12">
        <v>108</v>
      </c>
      <c r="S29" s="12">
        <v>100</v>
      </c>
      <c r="T29" s="12">
        <f t="shared" si="6"/>
        <v>8</v>
      </c>
      <c r="U29" s="12">
        <v>15</v>
      </c>
      <c r="V29" s="12">
        <v>19</v>
      </c>
      <c r="W29" s="13">
        <f t="shared" ref="W29:W47" si="14">S29/6</f>
        <v>16.666666666666668</v>
      </c>
      <c r="X29" s="14"/>
      <c r="Y29" s="14">
        <v>428</v>
      </c>
      <c r="Z29" s="14">
        <f t="shared" si="7"/>
        <v>320.85000000000002</v>
      </c>
      <c r="AA29" s="58">
        <f t="shared" si="8"/>
        <v>107.14999999999998</v>
      </c>
      <c r="AB29" s="14">
        <f t="shared" si="13"/>
        <v>23</v>
      </c>
      <c r="AC29" s="14">
        <v>31</v>
      </c>
      <c r="AD29" s="14"/>
      <c r="AE29" s="14">
        <v>121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5">
        <f t="shared" ref="AQ29:AQ33" si="15">AO29*AD29/1000000</f>
        <v>0</v>
      </c>
      <c r="AR29" s="15"/>
      <c r="AS29" s="14"/>
      <c r="AT29" s="14"/>
      <c r="AU29" s="16"/>
      <c r="AV29" s="16"/>
      <c r="AW29" s="81"/>
    </row>
    <row r="30" spans="2:49" hidden="1" x14ac:dyDescent="0.25">
      <c r="B30" s="12" t="s">
        <v>53</v>
      </c>
      <c r="C30" s="19">
        <v>35</v>
      </c>
      <c r="D30" s="19">
        <v>35</v>
      </c>
      <c r="E30" s="19">
        <v>35</v>
      </c>
      <c r="F30" s="19">
        <v>35</v>
      </c>
      <c r="G30" s="19">
        <v>35</v>
      </c>
      <c r="H30" s="19">
        <v>35</v>
      </c>
      <c r="I30" s="19">
        <v>35</v>
      </c>
      <c r="J30" s="19">
        <v>35</v>
      </c>
      <c r="K30" s="19">
        <v>35</v>
      </c>
      <c r="L30" s="19">
        <v>35</v>
      </c>
      <c r="M30" s="19">
        <v>35</v>
      </c>
      <c r="N30" s="19">
        <v>35</v>
      </c>
      <c r="O30" s="12" t="s">
        <v>76</v>
      </c>
      <c r="P30" s="12"/>
      <c r="Q30" s="12" t="s">
        <v>37</v>
      </c>
      <c r="R30" s="12">
        <v>55</v>
      </c>
      <c r="S30" s="12">
        <v>49</v>
      </c>
      <c r="T30" s="12">
        <f t="shared" si="6"/>
        <v>6</v>
      </c>
      <c r="U30" s="12"/>
      <c r="V30" s="12"/>
      <c r="W30" s="13">
        <f t="shared" si="14"/>
        <v>8.1666666666666661</v>
      </c>
      <c r="X30" s="14"/>
      <c r="Y30" s="14">
        <v>182</v>
      </c>
      <c r="Z30" s="14">
        <f t="shared" si="7"/>
        <v>162.75</v>
      </c>
      <c r="AA30" s="14">
        <f t="shared" si="8"/>
        <v>19.25</v>
      </c>
      <c r="AB30" s="14">
        <f t="shared" si="13"/>
        <v>4</v>
      </c>
      <c r="AC30" s="14">
        <v>5</v>
      </c>
      <c r="AD30" s="14"/>
      <c r="AE30" s="14">
        <v>12</v>
      </c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5">
        <f t="shared" si="15"/>
        <v>0</v>
      </c>
      <c r="AR30" s="15"/>
      <c r="AS30" s="14"/>
      <c r="AT30" s="14"/>
      <c r="AU30" s="16"/>
      <c r="AV30" s="16"/>
      <c r="AW30" s="81"/>
    </row>
    <row r="31" spans="2:49" hidden="1" x14ac:dyDescent="0.25">
      <c r="B31" s="12" t="s">
        <v>53</v>
      </c>
      <c r="C31" s="19">
        <v>31</v>
      </c>
      <c r="D31" s="19">
        <v>31</v>
      </c>
      <c r="E31" s="19">
        <v>31</v>
      </c>
      <c r="F31" s="19">
        <v>31</v>
      </c>
      <c r="G31" s="19">
        <v>31</v>
      </c>
      <c r="H31" s="19">
        <v>31</v>
      </c>
      <c r="I31" s="19">
        <v>31</v>
      </c>
      <c r="J31" s="19">
        <v>31</v>
      </c>
      <c r="K31" s="19">
        <v>31</v>
      </c>
      <c r="L31" s="19">
        <v>31</v>
      </c>
      <c r="M31" s="19">
        <v>31</v>
      </c>
      <c r="N31" s="19">
        <v>31</v>
      </c>
      <c r="O31" s="12" t="s">
        <v>77</v>
      </c>
      <c r="P31" s="12"/>
      <c r="Q31" s="12" t="s">
        <v>37</v>
      </c>
      <c r="R31" s="12">
        <v>42</v>
      </c>
      <c r="S31" s="12">
        <v>40</v>
      </c>
      <c r="T31" s="12">
        <f t="shared" si="6"/>
        <v>2</v>
      </c>
      <c r="U31" s="12"/>
      <c r="V31" s="12"/>
      <c r="W31" s="13">
        <f t="shared" si="14"/>
        <v>6.666666666666667</v>
      </c>
      <c r="X31" s="14"/>
      <c r="Y31" s="14">
        <v>155</v>
      </c>
      <c r="Z31" s="14">
        <f t="shared" si="7"/>
        <v>144.15</v>
      </c>
      <c r="AA31" s="14">
        <f t="shared" si="8"/>
        <v>10.849999999999994</v>
      </c>
      <c r="AB31" s="14">
        <f t="shared" si="13"/>
        <v>2</v>
      </c>
      <c r="AC31" s="14">
        <v>3</v>
      </c>
      <c r="AD31" s="14"/>
      <c r="AE31" s="14">
        <v>17</v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5">
        <f t="shared" si="15"/>
        <v>0</v>
      </c>
      <c r="AR31" s="15"/>
      <c r="AS31" s="14"/>
      <c r="AT31" s="14"/>
      <c r="AU31" s="16"/>
      <c r="AV31" s="16"/>
      <c r="AW31" s="81"/>
    </row>
    <row r="32" spans="2:49" hidden="1" x14ac:dyDescent="0.25">
      <c r="B32" s="12" t="s">
        <v>53</v>
      </c>
      <c r="C32" s="19">
        <v>48</v>
      </c>
      <c r="D32" s="19">
        <v>48</v>
      </c>
      <c r="E32" s="19">
        <v>48</v>
      </c>
      <c r="F32" s="19">
        <v>48</v>
      </c>
      <c r="G32" s="19">
        <v>48</v>
      </c>
      <c r="H32" s="19">
        <v>48</v>
      </c>
      <c r="I32" s="19">
        <v>48</v>
      </c>
      <c r="J32" s="19">
        <v>48</v>
      </c>
      <c r="K32" s="19">
        <v>48</v>
      </c>
      <c r="L32" s="19">
        <v>48</v>
      </c>
      <c r="M32" s="19">
        <v>48</v>
      </c>
      <c r="N32" s="19">
        <v>48</v>
      </c>
      <c r="O32" s="12" t="s">
        <v>78</v>
      </c>
      <c r="P32" s="12"/>
      <c r="Q32" s="12" t="s">
        <v>37</v>
      </c>
      <c r="R32" s="12">
        <v>64</v>
      </c>
      <c r="S32" s="12">
        <v>64</v>
      </c>
      <c r="T32" s="12">
        <f t="shared" si="6"/>
        <v>0</v>
      </c>
      <c r="U32" s="12"/>
      <c r="V32" s="12"/>
      <c r="W32" s="13">
        <f t="shared" si="14"/>
        <v>10.666666666666666</v>
      </c>
      <c r="X32" s="14"/>
      <c r="Y32" s="14">
        <v>225</v>
      </c>
      <c r="Z32" s="14">
        <f t="shared" si="7"/>
        <v>223.20000000000002</v>
      </c>
      <c r="AA32" s="14">
        <f t="shared" si="8"/>
        <v>1.7999999999999829</v>
      </c>
      <c r="AB32" s="14">
        <f t="shared" si="13"/>
        <v>0</v>
      </c>
      <c r="AC32" s="14">
        <f t="shared" si="12"/>
        <v>0</v>
      </c>
      <c r="AD32" s="14"/>
      <c r="AE32" s="14">
        <v>19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5">
        <f t="shared" si="15"/>
        <v>0</v>
      </c>
      <c r="AR32" s="15"/>
      <c r="AS32" s="14"/>
      <c r="AT32" s="14"/>
      <c r="AU32" s="16"/>
      <c r="AV32" s="16"/>
      <c r="AW32" s="81"/>
    </row>
    <row r="33" spans="1:102" hidden="1" x14ac:dyDescent="0.25">
      <c r="B33" s="12" t="s">
        <v>53</v>
      </c>
      <c r="C33" s="19">
        <v>26</v>
      </c>
      <c r="D33" s="19">
        <v>26</v>
      </c>
      <c r="E33" s="19">
        <v>26</v>
      </c>
      <c r="F33" s="19">
        <v>26</v>
      </c>
      <c r="G33" s="19">
        <v>26</v>
      </c>
      <c r="H33" s="19">
        <v>26</v>
      </c>
      <c r="I33" s="19">
        <v>26</v>
      </c>
      <c r="J33" s="19">
        <v>26</v>
      </c>
      <c r="K33" s="19">
        <v>26</v>
      </c>
      <c r="L33" s="19">
        <v>26</v>
      </c>
      <c r="M33" s="19">
        <v>26</v>
      </c>
      <c r="N33" s="19">
        <v>26</v>
      </c>
      <c r="O33" s="12" t="s">
        <v>79</v>
      </c>
      <c r="P33" s="12"/>
      <c r="Q33" s="12" t="s">
        <v>37</v>
      </c>
      <c r="R33" s="12">
        <v>35</v>
      </c>
      <c r="S33" s="12">
        <v>36</v>
      </c>
      <c r="T33" s="12">
        <f t="shared" si="6"/>
        <v>-1</v>
      </c>
      <c r="U33" s="12"/>
      <c r="V33" s="12"/>
      <c r="W33" s="13">
        <f t="shared" si="14"/>
        <v>6</v>
      </c>
      <c r="X33" s="14"/>
      <c r="Y33" s="14">
        <v>121</v>
      </c>
      <c r="Z33" s="14">
        <f t="shared" si="7"/>
        <v>120.9</v>
      </c>
      <c r="AA33" s="14">
        <f t="shared" si="8"/>
        <v>9.9999999999994316E-2</v>
      </c>
      <c r="AB33" s="14">
        <f t="shared" si="13"/>
        <v>0</v>
      </c>
      <c r="AC33" s="14">
        <f t="shared" si="12"/>
        <v>0</v>
      </c>
      <c r="AD33" s="14"/>
      <c r="AE33" s="14">
        <v>7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5">
        <f t="shared" si="15"/>
        <v>0</v>
      </c>
      <c r="AR33" s="15"/>
      <c r="AS33" s="14"/>
      <c r="AT33" s="14"/>
      <c r="AU33" s="16"/>
      <c r="AV33" s="16"/>
      <c r="AW33" s="81"/>
    </row>
    <row r="34" spans="1:102" hidden="1" x14ac:dyDescent="0.25">
      <c r="B34" s="12" t="s">
        <v>53</v>
      </c>
      <c r="C34" s="19">
        <v>37</v>
      </c>
      <c r="D34" s="19">
        <v>37</v>
      </c>
      <c r="E34" s="19">
        <v>37</v>
      </c>
      <c r="F34" s="19">
        <v>37</v>
      </c>
      <c r="G34" s="19">
        <v>37</v>
      </c>
      <c r="H34" s="19">
        <v>37</v>
      </c>
      <c r="I34" s="19">
        <v>37</v>
      </c>
      <c r="J34" s="19">
        <v>37</v>
      </c>
      <c r="K34" s="19">
        <v>37</v>
      </c>
      <c r="L34" s="19">
        <v>37</v>
      </c>
      <c r="M34" s="19">
        <v>37</v>
      </c>
      <c r="N34" s="19">
        <v>37</v>
      </c>
      <c r="O34" s="12" t="s">
        <v>80</v>
      </c>
      <c r="P34" s="12"/>
      <c r="Q34" s="12" t="s">
        <v>37</v>
      </c>
      <c r="R34" s="12">
        <v>50</v>
      </c>
      <c r="S34" s="12">
        <v>53</v>
      </c>
      <c r="T34" s="12">
        <f t="shared" si="6"/>
        <v>-3</v>
      </c>
      <c r="U34" s="12">
        <v>15</v>
      </c>
      <c r="V34" s="12">
        <v>15</v>
      </c>
      <c r="W34" s="13">
        <f t="shared" si="14"/>
        <v>8.8333333333333339</v>
      </c>
      <c r="X34" s="14"/>
      <c r="Y34" s="14">
        <v>265</v>
      </c>
      <c r="Z34" s="14">
        <f t="shared" si="7"/>
        <v>172.05</v>
      </c>
      <c r="AA34" s="14">
        <f t="shared" si="8"/>
        <v>92.949999999999989</v>
      </c>
      <c r="AB34" s="14">
        <f t="shared" si="13"/>
        <v>19</v>
      </c>
      <c r="AC34" s="14">
        <v>26</v>
      </c>
      <c r="AD34" s="14"/>
      <c r="AE34" s="14">
        <v>130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5"/>
      <c r="AR34" s="15"/>
      <c r="AS34" s="14"/>
      <c r="AT34" s="14"/>
      <c r="AU34" s="16"/>
      <c r="AV34" s="16"/>
      <c r="AW34" s="81"/>
    </row>
    <row r="35" spans="1:102" hidden="1" x14ac:dyDescent="0.25">
      <c r="B35" s="12" t="s">
        <v>53</v>
      </c>
      <c r="C35" s="19">
        <v>35</v>
      </c>
      <c r="D35" s="19">
        <v>35</v>
      </c>
      <c r="E35" s="19">
        <v>35</v>
      </c>
      <c r="F35" s="19">
        <v>35</v>
      </c>
      <c r="G35" s="19">
        <v>35</v>
      </c>
      <c r="H35" s="19">
        <v>35</v>
      </c>
      <c r="I35" s="19">
        <v>35</v>
      </c>
      <c r="J35" s="19">
        <v>35</v>
      </c>
      <c r="K35" s="19">
        <v>35</v>
      </c>
      <c r="L35" s="19">
        <v>35</v>
      </c>
      <c r="M35" s="19">
        <v>35</v>
      </c>
      <c r="N35" s="19">
        <v>35</v>
      </c>
      <c r="O35" s="12" t="s">
        <v>81</v>
      </c>
      <c r="P35" s="12"/>
      <c r="Q35" s="12" t="s">
        <v>37</v>
      </c>
      <c r="R35" s="12">
        <v>61</v>
      </c>
      <c r="S35" s="12">
        <v>43</v>
      </c>
      <c r="T35" s="41">
        <f t="shared" si="6"/>
        <v>18</v>
      </c>
      <c r="U35" s="12"/>
      <c r="V35" s="12"/>
      <c r="W35" s="13">
        <f t="shared" si="14"/>
        <v>7.166666666666667</v>
      </c>
      <c r="X35" s="14"/>
      <c r="Y35" s="14">
        <v>185</v>
      </c>
      <c r="Z35" s="14">
        <f t="shared" si="7"/>
        <v>162.75</v>
      </c>
      <c r="AA35" s="14">
        <f t="shared" si="8"/>
        <v>22.25</v>
      </c>
      <c r="AB35" s="14">
        <f t="shared" si="13"/>
        <v>4</v>
      </c>
      <c r="AC35" s="14">
        <v>5</v>
      </c>
      <c r="AD35" s="14"/>
      <c r="AE35" s="14">
        <v>6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5"/>
      <c r="AR35" s="15"/>
      <c r="AS35" s="14"/>
      <c r="AT35" s="14"/>
      <c r="AU35" s="16"/>
      <c r="AV35" s="16"/>
      <c r="AW35" s="81"/>
    </row>
    <row r="36" spans="1:102" hidden="1" x14ac:dyDescent="0.25">
      <c r="B36" s="12" t="s">
        <v>53</v>
      </c>
      <c r="C36" s="19">
        <v>18</v>
      </c>
      <c r="D36" s="19">
        <v>18</v>
      </c>
      <c r="E36" s="19">
        <v>18</v>
      </c>
      <c r="F36" s="19">
        <v>18</v>
      </c>
      <c r="G36" s="19">
        <v>18</v>
      </c>
      <c r="H36" s="19">
        <v>18</v>
      </c>
      <c r="I36" s="19">
        <v>18</v>
      </c>
      <c r="J36" s="19">
        <v>18</v>
      </c>
      <c r="K36" s="19">
        <v>18</v>
      </c>
      <c r="L36" s="19">
        <v>18</v>
      </c>
      <c r="M36" s="19">
        <v>18</v>
      </c>
      <c r="N36" s="19">
        <v>18</v>
      </c>
      <c r="O36" s="12" t="s">
        <v>82</v>
      </c>
      <c r="P36" s="12"/>
      <c r="Q36" s="12" t="s">
        <v>37</v>
      </c>
      <c r="R36" s="41">
        <v>24</v>
      </c>
      <c r="S36" s="12">
        <v>24</v>
      </c>
      <c r="T36" s="12">
        <f t="shared" si="6"/>
        <v>0</v>
      </c>
      <c r="U36" s="12"/>
      <c r="V36" s="12"/>
      <c r="W36" s="13">
        <f t="shared" si="14"/>
        <v>4</v>
      </c>
      <c r="X36" s="14"/>
      <c r="Y36" s="14">
        <v>74</v>
      </c>
      <c r="Z36" s="14">
        <f t="shared" si="7"/>
        <v>83.7</v>
      </c>
      <c r="AA36" s="14">
        <f t="shared" si="8"/>
        <v>-9.7000000000000028</v>
      </c>
      <c r="AB36" s="14">
        <f t="shared" si="13"/>
        <v>-2</v>
      </c>
      <c r="AC36" s="14">
        <v>-3</v>
      </c>
      <c r="AD36" s="14"/>
      <c r="AE36" s="14">
        <v>-11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5"/>
      <c r="AR36" s="15"/>
      <c r="AS36" s="14"/>
      <c r="AT36" s="14"/>
      <c r="AU36" s="16"/>
      <c r="AV36" s="16"/>
      <c r="AW36" s="81"/>
    </row>
    <row r="37" spans="1:102" hidden="1" x14ac:dyDescent="0.25">
      <c r="B37" s="12" t="s">
        <v>53</v>
      </c>
      <c r="C37" s="19">
        <v>89</v>
      </c>
      <c r="D37" s="19">
        <v>89</v>
      </c>
      <c r="E37" s="19">
        <v>89</v>
      </c>
      <c r="F37" s="19">
        <v>89</v>
      </c>
      <c r="G37" s="19">
        <v>89</v>
      </c>
      <c r="H37" s="19">
        <v>89</v>
      </c>
      <c r="I37" s="19">
        <v>89</v>
      </c>
      <c r="J37" s="19">
        <v>89</v>
      </c>
      <c r="K37" s="19">
        <v>89</v>
      </c>
      <c r="L37" s="19">
        <v>89</v>
      </c>
      <c r="M37" s="19">
        <v>89</v>
      </c>
      <c r="N37" s="19">
        <v>89</v>
      </c>
      <c r="O37" s="12" t="s">
        <v>83</v>
      </c>
      <c r="P37" s="12"/>
      <c r="Q37" s="12" t="s">
        <v>37</v>
      </c>
      <c r="R37" s="12">
        <v>148</v>
      </c>
      <c r="S37" s="12">
        <v>127</v>
      </c>
      <c r="T37" s="12">
        <f t="shared" si="6"/>
        <v>21</v>
      </c>
      <c r="U37" s="12"/>
      <c r="V37" s="12">
        <v>42</v>
      </c>
      <c r="W37" s="13">
        <f t="shared" si="14"/>
        <v>21.166666666666668</v>
      </c>
      <c r="X37" s="14"/>
      <c r="Y37" s="14">
        <v>366</v>
      </c>
      <c r="Z37" s="14">
        <f t="shared" si="7"/>
        <v>413.85</v>
      </c>
      <c r="AA37" s="14">
        <f t="shared" si="8"/>
        <v>-47.850000000000023</v>
      </c>
      <c r="AB37" s="14">
        <f t="shared" si="13"/>
        <v>-10</v>
      </c>
      <c r="AC37" s="14">
        <v>-14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5"/>
      <c r="AR37" s="15"/>
      <c r="AS37" s="14"/>
      <c r="AT37" s="14"/>
      <c r="AU37" s="16"/>
      <c r="AV37" s="16"/>
      <c r="AW37" s="81"/>
    </row>
    <row r="38" spans="1:102" ht="14.45" customHeight="1" x14ac:dyDescent="0.3">
      <c r="B38" s="12" t="s">
        <v>84</v>
      </c>
      <c r="C38" s="19">
        <v>6</v>
      </c>
      <c r="D38" s="19">
        <v>6</v>
      </c>
      <c r="E38" s="19">
        <v>6</v>
      </c>
      <c r="F38" s="19">
        <v>6</v>
      </c>
      <c r="G38" s="19">
        <v>6</v>
      </c>
      <c r="H38" s="19">
        <v>6</v>
      </c>
      <c r="I38" s="19">
        <v>6</v>
      </c>
      <c r="J38" s="19">
        <v>6</v>
      </c>
      <c r="K38" s="19">
        <v>6</v>
      </c>
      <c r="L38" s="19">
        <v>6</v>
      </c>
      <c r="M38" s="19">
        <v>6</v>
      </c>
      <c r="N38" s="19">
        <v>6</v>
      </c>
      <c r="O38" s="21" t="s">
        <v>85</v>
      </c>
      <c r="P38" s="12"/>
      <c r="Q38" s="12" t="s">
        <v>50</v>
      </c>
      <c r="R38" s="12">
        <v>9</v>
      </c>
      <c r="S38" s="12">
        <v>9</v>
      </c>
      <c r="T38" s="12">
        <f t="shared" si="6"/>
        <v>0</v>
      </c>
      <c r="U38" s="12"/>
      <c r="V38" s="12"/>
      <c r="W38" s="13">
        <f t="shared" si="14"/>
        <v>1.5</v>
      </c>
      <c r="X38" s="26"/>
      <c r="Y38" s="27">
        <v>46</v>
      </c>
      <c r="Z38" s="14">
        <f t="shared" si="7"/>
        <v>27.900000000000002</v>
      </c>
      <c r="AA38" s="14">
        <f t="shared" si="8"/>
        <v>18.099999999999998</v>
      </c>
      <c r="AB38" s="23"/>
      <c r="AC38" s="14">
        <f t="shared" si="12"/>
        <v>0</v>
      </c>
      <c r="AD38" s="9"/>
      <c r="AE38" s="26">
        <v>34</v>
      </c>
      <c r="AF38" s="18" t="s">
        <v>86</v>
      </c>
      <c r="AG38" s="28" t="s">
        <v>56</v>
      </c>
      <c r="AH38" s="28" t="s">
        <v>56</v>
      </c>
      <c r="AI38" s="26" t="s">
        <v>87</v>
      </c>
      <c r="AJ38" s="26">
        <v>3.5</v>
      </c>
      <c r="AK38" s="26"/>
      <c r="AL38" s="26"/>
      <c r="AM38" s="26"/>
      <c r="AN38" s="26"/>
      <c r="AO38" s="26">
        <v>777</v>
      </c>
      <c r="AP38" s="14">
        <f>AO38*AD38</f>
        <v>0</v>
      </c>
      <c r="AQ38" s="74"/>
      <c r="AR38" s="74"/>
      <c r="AS38" s="26"/>
      <c r="AT38" s="14">
        <v>-121400</v>
      </c>
      <c r="AU38" s="16">
        <v>47200</v>
      </c>
      <c r="AV38" s="16">
        <v>1289300</v>
      </c>
      <c r="AW38" s="81"/>
    </row>
    <row r="39" spans="1:102" hidden="1" x14ac:dyDescent="0.25">
      <c r="B39" s="12" t="s">
        <v>53</v>
      </c>
      <c r="C39" s="19">
        <v>27</v>
      </c>
      <c r="D39" s="19">
        <v>27</v>
      </c>
      <c r="E39" s="19">
        <v>27</v>
      </c>
      <c r="F39" s="19">
        <v>27</v>
      </c>
      <c r="G39" s="19">
        <v>27</v>
      </c>
      <c r="H39" s="19">
        <v>27</v>
      </c>
      <c r="I39" s="19">
        <v>27</v>
      </c>
      <c r="J39" s="19">
        <v>27</v>
      </c>
      <c r="K39" s="19">
        <v>27</v>
      </c>
      <c r="L39" s="19">
        <v>27</v>
      </c>
      <c r="M39" s="19">
        <v>27</v>
      </c>
      <c r="N39" s="19">
        <v>27</v>
      </c>
      <c r="O39" s="12" t="s">
        <v>88</v>
      </c>
      <c r="P39" s="12"/>
      <c r="Q39" s="12" t="s">
        <v>37</v>
      </c>
      <c r="R39" s="12">
        <v>42</v>
      </c>
      <c r="S39" s="12">
        <v>35</v>
      </c>
      <c r="T39" s="12">
        <f t="shared" si="6"/>
        <v>7</v>
      </c>
      <c r="U39" s="12"/>
      <c r="V39" s="12"/>
      <c r="W39" s="13">
        <f t="shared" si="14"/>
        <v>5.833333333333333</v>
      </c>
      <c r="X39" s="14"/>
      <c r="Y39" s="14">
        <v>155</v>
      </c>
      <c r="Z39" s="14">
        <f t="shared" si="7"/>
        <v>125.55000000000001</v>
      </c>
      <c r="AA39" s="14">
        <f t="shared" si="8"/>
        <v>29.449999999999989</v>
      </c>
      <c r="AB39" s="14">
        <f t="shared" ref="AB39:AB47" si="16">ROUNDDOWN(AA39/4.65,0)</f>
        <v>6</v>
      </c>
      <c r="AC39" s="14">
        <v>8</v>
      </c>
      <c r="AD39" s="14"/>
      <c r="AE39" s="14">
        <v>25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5"/>
      <c r="AR39" s="15"/>
      <c r="AS39" s="14"/>
      <c r="AT39" s="14"/>
      <c r="AU39" s="16"/>
      <c r="AV39" s="16"/>
      <c r="AW39" s="81"/>
    </row>
    <row r="40" spans="1:102" hidden="1" x14ac:dyDescent="0.25">
      <c r="B40" s="12" t="s">
        <v>53</v>
      </c>
      <c r="C40" s="19">
        <v>41</v>
      </c>
      <c r="D40" s="19">
        <v>41</v>
      </c>
      <c r="E40" s="19">
        <v>41</v>
      </c>
      <c r="F40" s="19">
        <v>41</v>
      </c>
      <c r="G40" s="19">
        <v>41</v>
      </c>
      <c r="H40" s="19">
        <v>41</v>
      </c>
      <c r="I40" s="19">
        <v>41</v>
      </c>
      <c r="J40" s="19">
        <v>41</v>
      </c>
      <c r="K40" s="19">
        <v>41</v>
      </c>
      <c r="L40" s="19">
        <v>41</v>
      </c>
      <c r="M40" s="19">
        <v>41</v>
      </c>
      <c r="N40" s="19">
        <v>41</v>
      </c>
      <c r="O40" s="12" t="s">
        <v>89</v>
      </c>
      <c r="P40" s="12"/>
      <c r="Q40" s="12" t="s">
        <v>37</v>
      </c>
      <c r="R40" s="12">
        <v>54</v>
      </c>
      <c r="S40" s="12">
        <v>56</v>
      </c>
      <c r="T40" s="12">
        <f t="shared" si="6"/>
        <v>-2</v>
      </c>
      <c r="U40" s="12"/>
      <c r="V40" s="12"/>
      <c r="W40" s="13">
        <f t="shared" si="14"/>
        <v>9.3333333333333339</v>
      </c>
      <c r="X40" s="14"/>
      <c r="Y40" s="14">
        <v>187</v>
      </c>
      <c r="Z40" s="14">
        <f t="shared" si="7"/>
        <v>190.65</v>
      </c>
      <c r="AA40" s="14">
        <f t="shared" si="8"/>
        <v>-3.6500000000000057</v>
      </c>
      <c r="AB40" s="14">
        <f t="shared" si="16"/>
        <v>0</v>
      </c>
      <c r="AC40" s="14">
        <f t="shared" si="12"/>
        <v>0</v>
      </c>
      <c r="AD40" s="14"/>
      <c r="AE40" s="14">
        <v>4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5"/>
      <c r="AR40" s="15"/>
      <c r="AS40" s="14"/>
      <c r="AT40" s="14"/>
      <c r="AU40" s="14"/>
      <c r="AV40" s="14"/>
      <c r="AW40" s="81"/>
    </row>
    <row r="41" spans="1:102" ht="14.45" customHeight="1" x14ac:dyDescent="0.3">
      <c r="B41" s="12" t="s">
        <v>90</v>
      </c>
      <c r="C41" s="19">
        <v>13</v>
      </c>
      <c r="D41" s="19">
        <v>13</v>
      </c>
      <c r="E41" s="19">
        <v>13</v>
      </c>
      <c r="F41" s="19">
        <v>13</v>
      </c>
      <c r="G41" s="19">
        <v>13</v>
      </c>
      <c r="H41" s="19">
        <v>13</v>
      </c>
      <c r="I41" s="19">
        <v>13</v>
      </c>
      <c r="J41" s="19">
        <v>13</v>
      </c>
      <c r="K41" s="19">
        <v>13</v>
      </c>
      <c r="L41" s="19">
        <v>13</v>
      </c>
      <c r="M41" s="19">
        <v>13</v>
      </c>
      <c r="N41" s="19">
        <v>13</v>
      </c>
      <c r="O41" s="12" t="s">
        <v>91</v>
      </c>
      <c r="P41" s="12"/>
      <c r="Q41" s="12" t="s">
        <v>50</v>
      </c>
      <c r="R41" s="12">
        <v>18</v>
      </c>
      <c r="S41" s="12">
        <v>18</v>
      </c>
      <c r="T41" s="12">
        <f t="shared" si="6"/>
        <v>0</v>
      </c>
      <c r="U41" s="12">
        <v>20</v>
      </c>
      <c r="V41" s="12">
        <v>26</v>
      </c>
      <c r="W41" s="13">
        <f t="shared" si="14"/>
        <v>3</v>
      </c>
      <c r="X41" s="14"/>
      <c r="Y41" s="17">
        <v>81.599999999999994</v>
      </c>
      <c r="Z41" s="14">
        <f t="shared" si="7"/>
        <v>60.45</v>
      </c>
      <c r="AA41" s="14">
        <f t="shared" si="8"/>
        <v>21.149999999999991</v>
      </c>
      <c r="AB41" s="14">
        <f t="shared" si="16"/>
        <v>4</v>
      </c>
      <c r="AC41" s="14">
        <v>5</v>
      </c>
      <c r="AD41" s="14">
        <v>132</v>
      </c>
      <c r="AE41" s="14">
        <v>35</v>
      </c>
      <c r="AF41" s="18">
        <v>2021</v>
      </c>
      <c r="AG41" s="28" t="s">
        <v>56</v>
      </c>
      <c r="AH41" s="28" t="s">
        <v>56</v>
      </c>
      <c r="AI41" s="14">
        <v>2029</v>
      </c>
      <c r="AJ41" s="14"/>
      <c r="AK41" s="14"/>
      <c r="AL41" s="14"/>
      <c r="AM41" s="14"/>
      <c r="AN41" s="14"/>
      <c r="AO41" s="14">
        <v>733</v>
      </c>
      <c r="AP41" s="14">
        <f>AO41*AD41</f>
        <v>96756</v>
      </c>
      <c r="AQ41" s="74"/>
      <c r="AR41" s="74"/>
      <c r="AS41" s="14"/>
      <c r="AT41" s="14">
        <v>-641900</v>
      </c>
      <c r="AU41" s="16">
        <v>140900</v>
      </c>
      <c r="AV41" s="16">
        <v>2445000</v>
      </c>
      <c r="AW41" s="81"/>
    </row>
    <row r="42" spans="1:102" hidden="1" x14ac:dyDescent="0.25">
      <c r="B42" s="12" t="s">
        <v>48</v>
      </c>
      <c r="C42" s="19">
        <v>40</v>
      </c>
      <c r="D42" s="19">
        <v>40</v>
      </c>
      <c r="E42" s="19">
        <v>40</v>
      </c>
      <c r="F42" s="19">
        <v>40</v>
      </c>
      <c r="G42" s="19">
        <v>40</v>
      </c>
      <c r="H42" s="19">
        <v>40</v>
      </c>
      <c r="I42" s="19">
        <v>40</v>
      </c>
      <c r="J42" s="19">
        <v>40</v>
      </c>
      <c r="K42" s="19">
        <v>40</v>
      </c>
      <c r="L42" s="19">
        <v>40</v>
      </c>
      <c r="M42" s="19">
        <v>40</v>
      </c>
      <c r="N42" s="19">
        <v>40</v>
      </c>
      <c r="O42" s="12" t="s">
        <v>92</v>
      </c>
      <c r="P42" s="12"/>
      <c r="Q42" s="12" t="s">
        <v>37</v>
      </c>
      <c r="R42" s="12">
        <v>53</v>
      </c>
      <c r="S42" s="12">
        <v>55</v>
      </c>
      <c r="T42" s="12">
        <f t="shared" si="6"/>
        <v>-2</v>
      </c>
      <c r="U42" s="12"/>
      <c r="V42" s="12"/>
      <c r="W42" s="13">
        <f t="shared" si="14"/>
        <v>9.1666666666666661</v>
      </c>
      <c r="X42" s="14"/>
      <c r="Y42" s="14">
        <v>158</v>
      </c>
      <c r="Z42" s="14">
        <f t="shared" si="7"/>
        <v>186</v>
      </c>
      <c r="AA42" s="14">
        <f t="shared" si="8"/>
        <v>-28</v>
      </c>
      <c r="AB42" s="14">
        <f t="shared" si="16"/>
        <v>-6</v>
      </c>
      <c r="AC42" s="14">
        <v>-8</v>
      </c>
      <c r="AD42" s="14"/>
      <c r="AE42" s="14">
        <v>9</v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5">
        <f>AO42*AD42/1000000</f>
        <v>0</v>
      </c>
      <c r="AR42" s="15"/>
      <c r="AS42" s="14"/>
      <c r="AT42" s="14"/>
      <c r="AU42" s="14"/>
      <c r="AV42" s="14"/>
      <c r="AW42" s="81"/>
    </row>
    <row r="43" spans="1:102" ht="14.45" customHeight="1" x14ac:dyDescent="0.3">
      <c r="B43" s="12" t="s">
        <v>61</v>
      </c>
      <c r="C43" s="19">
        <v>88</v>
      </c>
      <c r="D43" s="59">
        <v>88</v>
      </c>
      <c r="E43" s="59">
        <v>88</v>
      </c>
      <c r="F43" s="59">
        <v>88</v>
      </c>
      <c r="G43" s="59">
        <v>88</v>
      </c>
      <c r="H43" s="59">
        <v>88</v>
      </c>
      <c r="I43" s="59">
        <v>88</v>
      </c>
      <c r="J43" s="59">
        <v>88</v>
      </c>
      <c r="K43" s="59">
        <v>88</v>
      </c>
      <c r="L43" s="59">
        <v>88</v>
      </c>
      <c r="M43" s="59">
        <v>88</v>
      </c>
      <c r="N43" s="59">
        <v>88</v>
      </c>
      <c r="O43" s="21" t="s">
        <v>93</v>
      </c>
      <c r="P43" s="12"/>
      <c r="Q43" s="12" t="s">
        <v>50</v>
      </c>
      <c r="R43" s="12">
        <v>126</v>
      </c>
      <c r="S43" s="12">
        <v>126</v>
      </c>
      <c r="T43" s="12">
        <f t="shared" si="6"/>
        <v>0</v>
      </c>
      <c r="U43" s="12">
        <v>60</v>
      </c>
      <c r="V43" s="12">
        <v>60</v>
      </c>
      <c r="W43" s="13">
        <f t="shared" si="14"/>
        <v>21</v>
      </c>
      <c r="X43" s="14"/>
      <c r="Y43" s="17">
        <v>584</v>
      </c>
      <c r="Z43" s="14">
        <f t="shared" si="7"/>
        <v>409.20000000000005</v>
      </c>
      <c r="AA43" s="58">
        <f t="shared" si="8"/>
        <v>174.79999999999995</v>
      </c>
      <c r="AB43" s="14">
        <f t="shared" si="16"/>
        <v>37</v>
      </c>
      <c r="AC43" s="14">
        <v>50</v>
      </c>
      <c r="AD43" s="46"/>
      <c r="AE43" s="14">
        <v>397</v>
      </c>
      <c r="AF43" s="18">
        <v>2021</v>
      </c>
      <c r="AG43" s="28" t="s">
        <v>56</v>
      </c>
      <c r="AH43" s="28" t="s">
        <v>56</v>
      </c>
      <c r="AI43" s="14">
        <v>2030</v>
      </c>
      <c r="AJ43" s="14"/>
      <c r="AK43" s="14"/>
      <c r="AL43" s="14"/>
      <c r="AM43" s="14"/>
      <c r="AN43" s="14"/>
      <c r="AO43" s="14">
        <v>733</v>
      </c>
      <c r="AP43" s="14">
        <f>AO43*1191</f>
        <v>873003</v>
      </c>
      <c r="AQ43" s="74"/>
      <c r="AR43" s="74"/>
      <c r="AS43" s="14"/>
      <c r="AT43" s="14">
        <v>-310620</v>
      </c>
      <c r="AU43" s="16">
        <v>884020</v>
      </c>
      <c r="AV43" s="16">
        <v>13649400</v>
      </c>
      <c r="AW43" s="81"/>
    </row>
    <row r="44" spans="1:102" hidden="1" x14ac:dyDescent="0.25">
      <c r="B44" s="12" t="s">
        <v>48</v>
      </c>
      <c r="C44" s="19">
        <v>31</v>
      </c>
      <c r="D44" s="19">
        <v>31</v>
      </c>
      <c r="E44" s="19">
        <v>31</v>
      </c>
      <c r="F44" s="19">
        <v>31</v>
      </c>
      <c r="G44" s="19">
        <v>31</v>
      </c>
      <c r="H44" s="19">
        <v>31</v>
      </c>
      <c r="I44" s="19">
        <v>31</v>
      </c>
      <c r="J44" s="19">
        <v>31</v>
      </c>
      <c r="K44" s="19">
        <v>31</v>
      </c>
      <c r="L44" s="19">
        <v>31</v>
      </c>
      <c r="M44" s="19">
        <v>31</v>
      </c>
      <c r="N44" s="19">
        <v>31</v>
      </c>
      <c r="O44" s="12" t="s">
        <v>94</v>
      </c>
      <c r="P44" s="12"/>
      <c r="Q44" s="12" t="s">
        <v>37</v>
      </c>
      <c r="R44" s="12">
        <v>42</v>
      </c>
      <c r="S44" s="12">
        <v>43</v>
      </c>
      <c r="T44" s="12">
        <f t="shared" si="6"/>
        <v>-1</v>
      </c>
      <c r="U44" s="12"/>
      <c r="V44" s="12">
        <v>4</v>
      </c>
      <c r="W44" s="13">
        <f t="shared" si="14"/>
        <v>7.166666666666667</v>
      </c>
      <c r="X44" s="14"/>
      <c r="Y44" s="14">
        <v>175</v>
      </c>
      <c r="Z44" s="14">
        <f t="shared" si="7"/>
        <v>144.15</v>
      </c>
      <c r="AA44" s="14">
        <f t="shared" si="8"/>
        <v>30.849999999999994</v>
      </c>
      <c r="AB44" s="14">
        <f t="shared" si="16"/>
        <v>6</v>
      </c>
      <c r="AC44" s="14">
        <v>8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5">
        <f>AO44*AD44/1000000</f>
        <v>0</v>
      </c>
      <c r="AR44" s="15"/>
      <c r="AS44" s="14"/>
      <c r="AT44" s="14"/>
      <c r="AU44" s="16"/>
      <c r="AV44" s="16"/>
      <c r="AW44" s="81"/>
    </row>
    <row r="45" spans="1:102" hidden="1" x14ac:dyDescent="0.25">
      <c r="B45" s="12" t="s">
        <v>48</v>
      </c>
      <c r="C45" s="19">
        <v>78</v>
      </c>
      <c r="D45" s="19">
        <v>78</v>
      </c>
      <c r="E45" s="19">
        <v>78</v>
      </c>
      <c r="F45" s="19">
        <v>78</v>
      </c>
      <c r="G45" s="19">
        <v>78</v>
      </c>
      <c r="H45" s="19">
        <v>78</v>
      </c>
      <c r="I45" s="19">
        <v>78</v>
      </c>
      <c r="J45" s="19">
        <v>78</v>
      </c>
      <c r="K45" s="19">
        <v>78</v>
      </c>
      <c r="L45" s="19">
        <v>78</v>
      </c>
      <c r="M45" s="19">
        <v>78</v>
      </c>
      <c r="N45" s="19">
        <v>78</v>
      </c>
      <c r="O45" s="12" t="s">
        <v>95</v>
      </c>
      <c r="P45" s="12"/>
      <c r="Q45" s="12" t="s">
        <v>37</v>
      </c>
      <c r="R45" s="12">
        <v>114</v>
      </c>
      <c r="S45" s="12">
        <v>110</v>
      </c>
      <c r="T45" s="12">
        <f t="shared" si="6"/>
        <v>4</v>
      </c>
      <c r="U45" s="12"/>
      <c r="V45" s="12"/>
      <c r="W45" s="13">
        <f t="shared" si="14"/>
        <v>18.333333333333332</v>
      </c>
      <c r="X45" s="14"/>
      <c r="Y45" s="14">
        <v>334</v>
      </c>
      <c r="Z45" s="14">
        <f t="shared" si="7"/>
        <v>362.70000000000005</v>
      </c>
      <c r="AA45" s="14">
        <f t="shared" si="8"/>
        <v>-28.700000000000045</v>
      </c>
      <c r="AB45" s="14">
        <f t="shared" si="16"/>
        <v>-6</v>
      </c>
      <c r="AC45" s="14">
        <v>-8</v>
      </c>
      <c r="AD45" s="14"/>
      <c r="AE45" s="14">
        <v>2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5"/>
      <c r="AR45" s="15"/>
      <c r="AS45" s="14"/>
      <c r="AT45" s="14"/>
      <c r="AU45" s="16"/>
      <c r="AV45" s="16"/>
      <c r="AW45" s="81"/>
    </row>
    <row r="46" spans="1:102" hidden="1" x14ac:dyDescent="0.25">
      <c r="B46" s="12" t="s">
        <v>48</v>
      </c>
      <c r="C46" s="19">
        <v>73</v>
      </c>
      <c r="D46" s="19">
        <v>73</v>
      </c>
      <c r="E46" s="19">
        <v>73</v>
      </c>
      <c r="F46" s="19">
        <v>73</v>
      </c>
      <c r="G46" s="19">
        <v>73</v>
      </c>
      <c r="H46" s="19">
        <v>73</v>
      </c>
      <c r="I46" s="19">
        <v>73</v>
      </c>
      <c r="J46" s="19">
        <v>73</v>
      </c>
      <c r="K46" s="19">
        <v>73</v>
      </c>
      <c r="L46" s="19">
        <v>73</v>
      </c>
      <c r="M46" s="19">
        <v>73</v>
      </c>
      <c r="N46" s="19">
        <v>73</v>
      </c>
      <c r="O46" s="12" t="s">
        <v>96</v>
      </c>
      <c r="P46" s="12"/>
      <c r="Q46" s="12" t="s">
        <v>37</v>
      </c>
      <c r="R46" s="12">
        <v>101</v>
      </c>
      <c r="S46" s="12">
        <v>103</v>
      </c>
      <c r="T46" s="12">
        <f t="shared" si="6"/>
        <v>-2</v>
      </c>
      <c r="U46" s="12"/>
      <c r="V46" s="12"/>
      <c r="W46" s="13">
        <f t="shared" si="14"/>
        <v>17.166666666666668</v>
      </c>
      <c r="X46" s="14"/>
      <c r="Y46" s="14">
        <v>307</v>
      </c>
      <c r="Z46" s="14">
        <f t="shared" si="7"/>
        <v>339.45000000000005</v>
      </c>
      <c r="AA46" s="14">
        <f t="shared" si="8"/>
        <v>-32.450000000000045</v>
      </c>
      <c r="AB46" s="14">
        <f t="shared" si="16"/>
        <v>-6</v>
      </c>
      <c r="AC46" s="14">
        <v>-8</v>
      </c>
      <c r="AD46" s="14"/>
      <c r="AE46" s="14">
        <v>3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5"/>
      <c r="AR46" s="15"/>
      <c r="AS46" s="14"/>
      <c r="AT46" s="14"/>
      <c r="AU46" s="16"/>
      <c r="AV46" s="16"/>
      <c r="AW46" s="81"/>
    </row>
    <row r="47" spans="1:102" x14ac:dyDescent="0.25">
      <c r="B47" s="12" t="s">
        <v>61</v>
      </c>
      <c r="C47" s="19">
        <v>43</v>
      </c>
      <c r="D47" s="19">
        <v>43</v>
      </c>
      <c r="E47" s="19">
        <v>43</v>
      </c>
      <c r="F47" s="19">
        <v>43</v>
      </c>
      <c r="G47" s="19">
        <v>43</v>
      </c>
      <c r="H47" s="19">
        <v>43</v>
      </c>
      <c r="I47" s="19">
        <v>43</v>
      </c>
      <c r="J47" s="19">
        <v>43</v>
      </c>
      <c r="K47" s="19">
        <v>43</v>
      </c>
      <c r="L47" s="19">
        <v>43</v>
      </c>
      <c r="M47" s="19">
        <v>43</v>
      </c>
      <c r="N47" s="19">
        <v>43</v>
      </c>
      <c r="O47" s="12" t="s">
        <v>97</v>
      </c>
      <c r="P47" s="12"/>
      <c r="Q47" s="12" t="s">
        <v>50</v>
      </c>
      <c r="R47" s="12">
        <v>60</v>
      </c>
      <c r="S47" s="12">
        <v>60</v>
      </c>
      <c r="T47" s="44">
        <f t="shared" si="6"/>
        <v>0</v>
      </c>
      <c r="U47" s="12">
        <v>0</v>
      </c>
      <c r="V47" s="12">
        <v>2</v>
      </c>
      <c r="W47" s="13">
        <f t="shared" si="14"/>
        <v>10</v>
      </c>
      <c r="X47" s="14"/>
      <c r="Y47" s="17">
        <v>527</v>
      </c>
      <c r="Z47" s="14">
        <f t="shared" si="7"/>
        <v>199.95000000000002</v>
      </c>
      <c r="AA47" s="58">
        <f t="shared" si="8"/>
        <v>327.04999999999995</v>
      </c>
      <c r="AB47" s="14">
        <f t="shared" si="16"/>
        <v>70</v>
      </c>
      <c r="AC47" s="14">
        <v>95</v>
      </c>
      <c r="AD47" s="14">
        <v>681</v>
      </c>
      <c r="AE47" s="14">
        <v>260</v>
      </c>
      <c r="AF47" s="18">
        <v>1989</v>
      </c>
      <c r="AG47" s="14">
        <v>1.29</v>
      </c>
      <c r="AH47" s="14">
        <v>2.57</v>
      </c>
      <c r="AI47" s="14">
        <v>2028</v>
      </c>
      <c r="AJ47" s="14">
        <v>2.6</v>
      </c>
      <c r="AK47" s="14">
        <v>2</v>
      </c>
      <c r="AL47" s="14">
        <v>3</v>
      </c>
      <c r="AM47" s="14">
        <v>3</v>
      </c>
      <c r="AN47" s="14"/>
      <c r="AO47" s="14">
        <v>777</v>
      </c>
      <c r="AP47" s="14">
        <f t="shared" ref="AP47:AP55" si="17">AO47*AD47</f>
        <v>529137</v>
      </c>
      <c r="AQ47" s="74">
        <v>2331820</v>
      </c>
      <c r="AR47" s="74">
        <f>Y47*1500</f>
        <v>790500</v>
      </c>
      <c r="AS47" s="14"/>
      <c r="AT47" s="14">
        <v>-287500</v>
      </c>
      <c r="AU47" s="16">
        <v>613100</v>
      </c>
      <c r="AV47" s="16">
        <v>8172900</v>
      </c>
      <c r="AW47" s="81"/>
    </row>
    <row r="48" spans="1:102" s="32" customFormat="1" ht="16.5" customHeight="1" x14ac:dyDescent="0.25">
      <c r="A48"/>
      <c r="B48" s="12" t="s">
        <v>53</v>
      </c>
      <c r="C48" s="19">
        <v>8</v>
      </c>
      <c r="D48" s="19">
        <v>8</v>
      </c>
      <c r="E48" s="19">
        <v>8</v>
      </c>
      <c r="F48" s="19">
        <v>8</v>
      </c>
      <c r="G48" s="19">
        <v>8</v>
      </c>
      <c r="H48" s="19">
        <v>8</v>
      </c>
      <c r="I48" s="19">
        <v>8</v>
      </c>
      <c r="J48" s="19">
        <v>8</v>
      </c>
      <c r="K48" s="19">
        <v>8</v>
      </c>
      <c r="L48" s="19">
        <v>8</v>
      </c>
      <c r="M48" s="19">
        <v>8</v>
      </c>
      <c r="N48" s="19">
        <v>8</v>
      </c>
      <c r="O48" s="60" t="s">
        <v>98</v>
      </c>
      <c r="P48" s="20"/>
      <c r="Q48" s="19" t="s">
        <v>50</v>
      </c>
      <c r="R48" s="19">
        <v>28</v>
      </c>
      <c r="S48" s="19">
        <v>11</v>
      </c>
      <c r="T48" s="41">
        <f t="shared" si="6"/>
        <v>17</v>
      </c>
      <c r="U48" s="19">
        <v>20</v>
      </c>
      <c r="V48" s="19">
        <v>20</v>
      </c>
      <c r="W48" s="13">
        <v>4</v>
      </c>
      <c r="X48" s="14"/>
      <c r="Y48" s="17">
        <v>80</v>
      </c>
      <c r="Z48" s="14">
        <f t="shared" si="7"/>
        <v>37.200000000000003</v>
      </c>
      <c r="AA48" s="14">
        <f t="shared" si="8"/>
        <v>42.8</v>
      </c>
      <c r="AB48" s="23"/>
      <c r="AC48" s="14">
        <f t="shared" si="12"/>
        <v>0</v>
      </c>
      <c r="AD48" s="14">
        <v>775</v>
      </c>
      <c r="AE48" s="14">
        <v>61</v>
      </c>
      <c r="AF48" s="18">
        <v>2007</v>
      </c>
      <c r="AG48" s="14">
        <v>0.95</v>
      </c>
      <c r="AH48" s="14">
        <v>1.57</v>
      </c>
      <c r="AI48" s="14">
        <v>2026</v>
      </c>
      <c r="AJ48" s="14">
        <v>3</v>
      </c>
      <c r="AK48" s="14">
        <v>3</v>
      </c>
      <c r="AL48" s="14">
        <v>3</v>
      </c>
      <c r="AM48" s="14">
        <v>3</v>
      </c>
      <c r="AN48" s="14"/>
      <c r="AO48" s="14">
        <v>777</v>
      </c>
      <c r="AP48" s="14">
        <f t="shared" si="17"/>
        <v>602175</v>
      </c>
      <c r="AQ48" s="74"/>
      <c r="AR48" s="74"/>
      <c r="AS48" s="14"/>
      <c r="AT48" s="14">
        <v>-86100</v>
      </c>
      <c r="AU48" s="16">
        <v>188100</v>
      </c>
      <c r="AV48" s="16">
        <v>3294900</v>
      </c>
      <c r="AW48" s="81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</row>
    <row r="49" spans="2:49" ht="16.5" customHeight="1" x14ac:dyDescent="0.3">
      <c r="B49" s="12" t="s">
        <v>48</v>
      </c>
      <c r="C49" s="19">
        <v>55</v>
      </c>
      <c r="D49" s="19">
        <v>55</v>
      </c>
      <c r="E49" s="19">
        <v>55</v>
      </c>
      <c r="F49" s="19">
        <v>55</v>
      </c>
      <c r="G49" s="19">
        <v>55</v>
      </c>
      <c r="H49" s="19">
        <v>55</v>
      </c>
      <c r="I49" s="19">
        <v>55</v>
      </c>
      <c r="J49" s="19">
        <v>55</v>
      </c>
      <c r="K49" s="19">
        <v>55</v>
      </c>
      <c r="L49" s="19">
        <v>55</v>
      </c>
      <c r="M49" s="19">
        <v>55</v>
      </c>
      <c r="N49" s="19">
        <v>55</v>
      </c>
      <c r="O49" s="12" t="s">
        <v>99</v>
      </c>
      <c r="P49" s="12"/>
      <c r="Q49" s="12" t="s">
        <v>50</v>
      </c>
      <c r="R49" s="12">
        <v>81</v>
      </c>
      <c r="S49" s="12">
        <v>78</v>
      </c>
      <c r="T49" s="44">
        <f t="shared" si="6"/>
        <v>3</v>
      </c>
      <c r="U49" s="12">
        <v>20</v>
      </c>
      <c r="V49" s="12">
        <v>20</v>
      </c>
      <c r="W49" s="13">
        <v>12.8</v>
      </c>
      <c r="X49" s="14"/>
      <c r="Y49" s="17">
        <v>527</v>
      </c>
      <c r="Z49" s="14">
        <f t="shared" si="7"/>
        <v>255.75000000000003</v>
      </c>
      <c r="AA49" s="58">
        <f t="shared" si="8"/>
        <v>271.25</v>
      </c>
      <c r="AB49" s="14">
        <f>ROUNDDOWN(AA49/4.65,0)</f>
        <v>58</v>
      </c>
      <c r="AC49" s="14">
        <v>78</v>
      </c>
      <c r="AD49" s="14">
        <v>1012</v>
      </c>
      <c r="AE49" s="14">
        <v>199</v>
      </c>
      <c r="AF49" s="18">
        <v>1975</v>
      </c>
      <c r="AG49" s="28" t="s">
        <v>56</v>
      </c>
      <c r="AH49" s="28" t="s">
        <v>56</v>
      </c>
      <c r="AI49" s="14"/>
      <c r="AJ49" s="14">
        <v>4</v>
      </c>
      <c r="AK49" s="14">
        <v>4</v>
      </c>
      <c r="AL49" s="14">
        <v>4</v>
      </c>
      <c r="AM49" s="14">
        <v>4</v>
      </c>
      <c r="AN49" s="14"/>
      <c r="AO49" s="14">
        <v>777</v>
      </c>
      <c r="AP49" s="14">
        <f t="shared" si="17"/>
        <v>786324</v>
      </c>
      <c r="AQ49" s="74"/>
      <c r="AR49" s="74"/>
      <c r="AS49" s="14"/>
      <c r="AT49" s="49">
        <v>-438400</v>
      </c>
      <c r="AU49" s="33">
        <v>982100</v>
      </c>
      <c r="AV49" s="33">
        <v>12580500</v>
      </c>
      <c r="AW49" s="81"/>
    </row>
    <row r="50" spans="2:49" x14ac:dyDescent="0.25">
      <c r="B50" s="12" t="s">
        <v>53</v>
      </c>
      <c r="C50" s="19">
        <v>53</v>
      </c>
      <c r="D50" s="19">
        <v>53</v>
      </c>
      <c r="E50" s="19">
        <v>53</v>
      </c>
      <c r="F50" s="19">
        <v>53</v>
      </c>
      <c r="G50" s="19">
        <v>53</v>
      </c>
      <c r="H50" s="19">
        <v>53</v>
      </c>
      <c r="I50" s="19">
        <v>53</v>
      </c>
      <c r="J50" s="19">
        <v>53</v>
      </c>
      <c r="K50" s="19">
        <v>53</v>
      </c>
      <c r="L50" s="19">
        <v>53</v>
      </c>
      <c r="M50" s="19">
        <v>53</v>
      </c>
      <c r="N50" s="19">
        <v>53</v>
      </c>
      <c r="O50" s="19" t="s">
        <v>100</v>
      </c>
      <c r="P50" s="20"/>
      <c r="Q50" s="19" t="s">
        <v>50</v>
      </c>
      <c r="R50" s="19">
        <v>81</v>
      </c>
      <c r="S50" s="19">
        <v>76</v>
      </c>
      <c r="T50" s="12">
        <f t="shared" si="6"/>
        <v>5</v>
      </c>
      <c r="U50" s="19">
        <v>42</v>
      </c>
      <c r="V50" s="19">
        <v>48</v>
      </c>
      <c r="W50" s="13">
        <v>13</v>
      </c>
      <c r="X50" s="14"/>
      <c r="Y50" s="17">
        <v>325.3</v>
      </c>
      <c r="Z50" s="14">
        <f t="shared" si="7"/>
        <v>246.45000000000002</v>
      </c>
      <c r="AA50" s="58">
        <f t="shared" si="8"/>
        <v>78.849999999999994</v>
      </c>
      <c r="AB50" s="14">
        <f>ROUNDDOWN(AA50/4.65,0)</f>
        <v>16</v>
      </c>
      <c r="AC50" s="14">
        <v>22</v>
      </c>
      <c r="AD50" s="14">
        <v>1007</v>
      </c>
      <c r="AE50" s="14">
        <v>150</v>
      </c>
      <c r="AF50" s="18">
        <v>2016</v>
      </c>
      <c r="AG50" s="13">
        <v>0.5</v>
      </c>
      <c r="AH50" s="13">
        <v>0.43</v>
      </c>
      <c r="AI50" s="14">
        <v>2027</v>
      </c>
      <c r="AJ50" s="14">
        <v>3.6</v>
      </c>
      <c r="AK50" s="14">
        <v>4</v>
      </c>
      <c r="AL50" s="14">
        <v>4</v>
      </c>
      <c r="AM50" s="14">
        <v>3</v>
      </c>
      <c r="AN50" s="14"/>
      <c r="AO50" s="14">
        <v>777</v>
      </c>
      <c r="AP50" s="14">
        <f t="shared" si="17"/>
        <v>782439</v>
      </c>
      <c r="AQ50" s="74">
        <v>2163896</v>
      </c>
      <c r="AR50" s="74">
        <f>Y50*1500</f>
        <v>487950</v>
      </c>
      <c r="AS50" s="14"/>
      <c r="AT50" s="50">
        <v>-416900</v>
      </c>
      <c r="AU50" s="36">
        <v>849800</v>
      </c>
      <c r="AV50" s="36">
        <v>9928300</v>
      </c>
      <c r="AW50" s="81"/>
    </row>
    <row r="51" spans="2:49" ht="16.5" customHeight="1" thickBot="1" x14ac:dyDescent="0.3">
      <c r="B51" s="44" t="s">
        <v>57</v>
      </c>
      <c r="C51" s="45">
        <v>29</v>
      </c>
      <c r="D51" s="45">
        <v>29</v>
      </c>
      <c r="E51" s="45">
        <v>29</v>
      </c>
      <c r="F51" s="45">
        <v>29</v>
      </c>
      <c r="G51" s="45">
        <v>29</v>
      </c>
      <c r="H51" s="45">
        <v>29</v>
      </c>
      <c r="I51" s="45">
        <v>29</v>
      </c>
      <c r="J51" s="45">
        <v>29</v>
      </c>
      <c r="K51" s="45">
        <v>29</v>
      </c>
      <c r="L51" s="45">
        <v>29</v>
      </c>
      <c r="M51" s="45">
        <v>29</v>
      </c>
      <c r="N51" s="45">
        <v>29</v>
      </c>
      <c r="O51" s="21" t="s">
        <v>101</v>
      </c>
      <c r="P51" s="44"/>
      <c r="Q51" s="44" t="s">
        <v>50</v>
      </c>
      <c r="R51" s="63">
        <v>42</v>
      </c>
      <c r="S51" s="44">
        <v>39</v>
      </c>
      <c r="T51" s="44">
        <f t="shared" si="6"/>
        <v>3</v>
      </c>
      <c r="U51" s="44">
        <v>0</v>
      </c>
      <c r="V51" s="44"/>
      <c r="W51" s="72">
        <v>6.8</v>
      </c>
      <c r="X51" s="46"/>
      <c r="Y51" s="47">
        <v>184</v>
      </c>
      <c r="Z51" s="14">
        <f t="shared" si="7"/>
        <v>134.85000000000002</v>
      </c>
      <c r="AA51" s="14">
        <f t="shared" si="8"/>
        <v>49.149999999999977</v>
      </c>
      <c r="AB51" s="23"/>
      <c r="AC51" s="14">
        <f t="shared" si="12"/>
        <v>0</v>
      </c>
      <c r="AD51" s="46">
        <v>637</v>
      </c>
      <c r="AE51" s="46">
        <v>48</v>
      </c>
      <c r="AF51" s="48">
        <v>1956</v>
      </c>
      <c r="AG51" s="31">
        <v>1.1299999999999999</v>
      </c>
      <c r="AH51" s="31">
        <v>2.29</v>
      </c>
      <c r="AI51" s="31">
        <v>2021</v>
      </c>
      <c r="AJ51" s="31">
        <v>3</v>
      </c>
      <c r="AK51" s="31">
        <v>3</v>
      </c>
      <c r="AL51" s="31">
        <v>3</v>
      </c>
      <c r="AM51" s="31">
        <v>3</v>
      </c>
      <c r="AN51" s="46"/>
      <c r="AO51" s="46">
        <v>777</v>
      </c>
      <c r="AP51" s="14">
        <f t="shared" si="17"/>
        <v>494949</v>
      </c>
      <c r="AQ51" s="78">
        <v>23428544</v>
      </c>
      <c r="AR51" s="74">
        <f>Y51*1500</f>
        <v>276000</v>
      </c>
      <c r="AS51" s="46"/>
      <c r="AT51" s="46">
        <v>-125400</v>
      </c>
      <c r="AU51" s="57">
        <v>280900</v>
      </c>
      <c r="AV51" s="57">
        <v>5424200</v>
      </c>
      <c r="AW51" s="81"/>
    </row>
    <row r="52" spans="2:49" ht="14.45" customHeight="1" x14ac:dyDescent="0.3">
      <c r="B52" s="12" t="s">
        <v>48</v>
      </c>
      <c r="C52" s="19">
        <v>21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12" t="s">
        <v>102</v>
      </c>
      <c r="P52" s="12"/>
      <c r="Q52" s="61" t="s">
        <v>50</v>
      </c>
      <c r="R52" s="65">
        <v>0</v>
      </c>
      <c r="S52" s="62">
        <v>29</v>
      </c>
      <c r="T52" s="42">
        <f t="shared" si="6"/>
        <v>-29</v>
      </c>
      <c r="U52" s="12">
        <v>0</v>
      </c>
      <c r="V52" s="61"/>
      <c r="W52" s="70"/>
      <c r="X52" s="53"/>
      <c r="Y52" s="17">
        <v>176</v>
      </c>
      <c r="Z52" s="14">
        <f t="shared" si="7"/>
        <v>97.65</v>
      </c>
      <c r="AA52" s="14">
        <f t="shared" si="8"/>
        <v>78.349999999999994</v>
      </c>
      <c r="AB52" s="14">
        <f>ROUNDDOWN(AA52/4.65,0)</f>
        <v>16</v>
      </c>
      <c r="AC52" s="14">
        <v>22</v>
      </c>
      <c r="AD52" s="14">
        <v>642</v>
      </c>
      <c r="AE52" s="14">
        <v>50</v>
      </c>
      <c r="AF52" s="35">
        <v>1937</v>
      </c>
      <c r="AG52" s="28" t="s">
        <v>56</v>
      </c>
      <c r="AH52" s="28" t="s">
        <v>56</v>
      </c>
      <c r="AI52" s="14"/>
      <c r="AJ52" s="14">
        <v>2.2999999999999998</v>
      </c>
      <c r="AK52" s="14">
        <v>3</v>
      </c>
      <c r="AL52" s="14">
        <v>1</v>
      </c>
      <c r="AM52" s="14">
        <v>3</v>
      </c>
      <c r="AN52" s="14"/>
      <c r="AO52" s="52">
        <v>777</v>
      </c>
      <c r="AP52" s="14">
        <f t="shared" si="17"/>
        <v>498834</v>
      </c>
      <c r="AQ52" s="76"/>
      <c r="AR52" s="74"/>
      <c r="AS52" s="53"/>
      <c r="AT52" s="14"/>
      <c r="AU52" s="51"/>
      <c r="AV52" s="55"/>
      <c r="AW52" s="81"/>
    </row>
    <row r="53" spans="2:49" ht="15.75" thickBot="1" x14ac:dyDescent="0.3">
      <c r="B53" s="12" t="s">
        <v>48</v>
      </c>
      <c r="C53" s="19">
        <v>26</v>
      </c>
      <c r="D53" s="19">
        <v>26</v>
      </c>
      <c r="E53" s="19">
        <v>26</v>
      </c>
      <c r="F53" s="19">
        <v>26</v>
      </c>
      <c r="G53" s="19">
        <v>26</v>
      </c>
      <c r="H53" s="19">
        <v>26</v>
      </c>
      <c r="I53" s="19">
        <v>26</v>
      </c>
      <c r="J53" s="19">
        <v>26</v>
      </c>
      <c r="K53" s="19">
        <v>26</v>
      </c>
      <c r="L53" s="19">
        <v>26</v>
      </c>
      <c r="M53" s="19">
        <v>26</v>
      </c>
      <c r="N53" s="19">
        <v>26</v>
      </c>
      <c r="O53" s="12" t="s">
        <v>103</v>
      </c>
      <c r="P53" s="12"/>
      <c r="Q53" s="61" t="s">
        <v>50</v>
      </c>
      <c r="R53" s="66">
        <v>68</v>
      </c>
      <c r="S53" s="62">
        <v>33</v>
      </c>
      <c r="T53" s="12">
        <f t="shared" si="6"/>
        <v>35</v>
      </c>
      <c r="U53" s="12">
        <v>0</v>
      </c>
      <c r="V53" s="61"/>
      <c r="W53" s="71">
        <v>10.6</v>
      </c>
      <c r="X53" s="53"/>
      <c r="Y53" s="17">
        <v>210</v>
      </c>
      <c r="Z53" s="14">
        <f t="shared" si="7"/>
        <v>120.9</v>
      </c>
      <c r="AA53" s="14">
        <f t="shared" si="8"/>
        <v>89.1</v>
      </c>
      <c r="AB53" s="14">
        <f>ROUNDDOWN(AA53/4.65,0)</f>
        <v>19</v>
      </c>
      <c r="AC53" s="14">
        <v>26</v>
      </c>
      <c r="AD53" s="14">
        <v>350</v>
      </c>
      <c r="AE53" s="14">
        <v>37</v>
      </c>
      <c r="AF53" s="18">
        <v>1972</v>
      </c>
      <c r="AG53" s="14">
        <v>1.05</v>
      </c>
      <c r="AH53" s="14">
        <v>1.57</v>
      </c>
      <c r="AI53" s="14">
        <v>2024</v>
      </c>
      <c r="AJ53" s="14">
        <v>3</v>
      </c>
      <c r="AK53" s="14">
        <v>3</v>
      </c>
      <c r="AL53" s="14">
        <v>3</v>
      </c>
      <c r="AM53" s="14">
        <v>3</v>
      </c>
      <c r="AN53" s="14"/>
      <c r="AO53" s="52">
        <v>777</v>
      </c>
      <c r="AP53" s="14">
        <f t="shared" si="17"/>
        <v>271950</v>
      </c>
      <c r="AQ53" s="77">
        <v>11539500</v>
      </c>
      <c r="AR53" s="74">
        <f>Y53*1500</f>
        <v>315000</v>
      </c>
      <c r="AS53" s="53"/>
      <c r="AT53" s="14">
        <v>-351300</v>
      </c>
      <c r="AU53" s="51">
        <v>770300</v>
      </c>
      <c r="AV53" s="55">
        <v>10848400</v>
      </c>
      <c r="AW53" s="81"/>
    </row>
    <row r="54" spans="2:49" x14ac:dyDescent="0.25">
      <c r="B54" s="12" t="s">
        <v>104</v>
      </c>
      <c r="C54" s="19">
        <v>25</v>
      </c>
      <c r="D54" s="19">
        <v>25</v>
      </c>
      <c r="E54" s="19">
        <v>25</v>
      </c>
      <c r="F54" s="19">
        <v>25</v>
      </c>
      <c r="G54" s="19">
        <v>25</v>
      </c>
      <c r="H54" s="19">
        <v>25</v>
      </c>
      <c r="I54" s="19">
        <v>25</v>
      </c>
      <c r="J54" s="19">
        <v>25</v>
      </c>
      <c r="K54" s="19">
        <v>25</v>
      </c>
      <c r="L54" s="19">
        <v>25</v>
      </c>
      <c r="M54" s="19">
        <v>25</v>
      </c>
      <c r="N54" s="19">
        <v>25</v>
      </c>
      <c r="O54" s="21" t="s">
        <v>105</v>
      </c>
      <c r="P54" s="12"/>
      <c r="Q54" s="12" t="s">
        <v>50</v>
      </c>
      <c r="R54" s="64">
        <v>32</v>
      </c>
      <c r="S54" s="12">
        <v>34</v>
      </c>
      <c r="T54" s="12">
        <f t="shared" si="6"/>
        <v>-2</v>
      </c>
      <c r="U54" s="22" t="s">
        <v>59</v>
      </c>
      <c r="V54" s="12"/>
      <c r="W54" s="69">
        <v>4.7</v>
      </c>
      <c r="X54" s="14"/>
      <c r="Y54" s="17">
        <v>164</v>
      </c>
      <c r="Z54" s="14">
        <f t="shared" si="7"/>
        <v>116.25000000000001</v>
      </c>
      <c r="AA54" s="14">
        <f t="shared" si="8"/>
        <v>47.749999999999986</v>
      </c>
      <c r="AB54" s="23"/>
      <c r="AC54" s="14">
        <f t="shared" si="12"/>
        <v>0</v>
      </c>
      <c r="AD54" s="23"/>
      <c r="AE54" s="14">
        <v>23</v>
      </c>
      <c r="AF54" s="18" t="s">
        <v>106</v>
      </c>
      <c r="AG54" s="14">
        <v>1.04</v>
      </c>
      <c r="AH54" s="14">
        <v>1.71</v>
      </c>
      <c r="AI54" s="14">
        <v>2025</v>
      </c>
      <c r="AJ54" s="14"/>
      <c r="AK54" s="14"/>
      <c r="AL54" s="14"/>
      <c r="AM54" s="14"/>
      <c r="AN54" s="14"/>
      <c r="AO54" s="14">
        <v>769</v>
      </c>
      <c r="AP54" s="14">
        <f t="shared" si="17"/>
        <v>0</v>
      </c>
      <c r="AQ54" s="79">
        <v>27203644</v>
      </c>
      <c r="AR54" s="74">
        <f>Y54*1500</f>
        <v>246000</v>
      </c>
      <c r="AS54" s="14"/>
      <c r="AT54" s="14">
        <v>-960000</v>
      </c>
      <c r="AU54" s="16">
        <v>192800</v>
      </c>
      <c r="AV54" s="16">
        <v>4283300</v>
      </c>
      <c r="AW54" s="81"/>
    </row>
    <row r="55" spans="2:49" x14ac:dyDescent="0.25">
      <c r="B55" s="12" t="s">
        <v>104</v>
      </c>
      <c r="C55" s="19">
        <v>71</v>
      </c>
      <c r="D55" s="19">
        <v>71</v>
      </c>
      <c r="E55" s="19">
        <v>71</v>
      </c>
      <c r="F55" s="19">
        <v>71</v>
      </c>
      <c r="G55" s="19">
        <v>71</v>
      </c>
      <c r="H55" s="19">
        <v>71</v>
      </c>
      <c r="I55" s="19">
        <v>71</v>
      </c>
      <c r="J55" s="19">
        <v>71</v>
      </c>
      <c r="K55" s="19">
        <v>71</v>
      </c>
      <c r="L55" s="19">
        <v>71</v>
      </c>
      <c r="M55" s="19">
        <v>71</v>
      </c>
      <c r="N55" s="19">
        <v>71</v>
      </c>
      <c r="O55" s="12" t="s">
        <v>107</v>
      </c>
      <c r="P55" s="12"/>
      <c r="Q55" s="12" t="s">
        <v>50</v>
      </c>
      <c r="R55" s="12">
        <v>105</v>
      </c>
      <c r="S55" s="12">
        <v>97</v>
      </c>
      <c r="T55" s="12">
        <f t="shared" si="6"/>
        <v>8</v>
      </c>
      <c r="U55" s="12">
        <v>0</v>
      </c>
      <c r="V55" s="12"/>
      <c r="W55" s="13">
        <v>16.5</v>
      </c>
      <c r="X55" s="14"/>
      <c r="Y55" s="17">
        <v>362</v>
      </c>
      <c r="Z55" s="14">
        <f t="shared" si="7"/>
        <v>330.15000000000003</v>
      </c>
      <c r="AA55" s="14">
        <f t="shared" si="8"/>
        <v>31.849999999999966</v>
      </c>
      <c r="AB55" s="14">
        <f>ROUNDDOWN(AA55/4.65,0)</f>
        <v>6</v>
      </c>
      <c r="AC55" s="14">
        <v>8</v>
      </c>
      <c r="AD55" s="14">
        <v>890</v>
      </c>
      <c r="AE55" s="14">
        <v>12</v>
      </c>
      <c r="AF55" s="34">
        <v>1979</v>
      </c>
      <c r="AG55" s="14">
        <v>1</v>
      </c>
      <c r="AH55" s="14">
        <v>2.4300000000000002</v>
      </c>
      <c r="AI55" s="14">
        <v>2029</v>
      </c>
      <c r="AJ55" s="14">
        <v>2.6</v>
      </c>
      <c r="AK55" s="14">
        <v>2</v>
      </c>
      <c r="AL55" s="14">
        <v>4</v>
      </c>
      <c r="AM55" s="14">
        <v>2</v>
      </c>
      <c r="AN55" s="14"/>
      <c r="AO55" s="14">
        <v>777</v>
      </c>
      <c r="AP55" s="14">
        <f t="shared" si="17"/>
        <v>691530</v>
      </c>
      <c r="AQ55" s="74">
        <v>11495295</v>
      </c>
      <c r="AR55" s="74">
        <f>Y55*1500</f>
        <v>543000</v>
      </c>
      <c r="AS55" s="14"/>
      <c r="AT55" s="14">
        <v>-371000</v>
      </c>
      <c r="AU55" s="16">
        <v>998200</v>
      </c>
      <c r="AV55" s="16">
        <v>12673800</v>
      </c>
      <c r="AW55" s="81"/>
    </row>
    <row r="56" spans="2:49" hidden="1" x14ac:dyDescent="0.25">
      <c r="B56" s="12" t="s">
        <v>57</v>
      </c>
      <c r="C56" s="19">
        <v>8</v>
      </c>
      <c r="D56" s="19">
        <v>8</v>
      </c>
      <c r="E56" s="19">
        <v>8</v>
      </c>
      <c r="F56" s="19">
        <v>8</v>
      </c>
      <c r="G56" s="19">
        <v>8</v>
      </c>
      <c r="H56" s="19">
        <v>8</v>
      </c>
      <c r="I56" s="19">
        <v>8</v>
      </c>
      <c r="J56" s="19">
        <v>8</v>
      </c>
      <c r="K56" s="19">
        <v>8</v>
      </c>
      <c r="L56" s="19">
        <v>8</v>
      </c>
      <c r="M56" s="19">
        <v>8</v>
      </c>
      <c r="N56" s="19">
        <v>8</v>
      </c>
      <c r="O56" s="12" t="s">
        <v>108</v>
      </c>
      <c r="P56" s="12"/>
      <c r="Q56" s="12" t="s">
        <v>37</v>
      </c>
      <c r="R56" s="12">
        <v>14</v>
      </c>
      <c r="S56" s="12">
        <v>12</v>
      </c>
      <c r="T56" s="12">
        <f t="shared" si="6"/>
        <v>2</v>
      </c>
      <c r="U56" s="12"/>
      <c r="V56" s="12"/>
      <c r="W56" s="13">
        <f>S56/6</f>
        <v>2</v>
      </c>
      <c r="X56" s="14"/>
      <c r="Y56" s="14">
        <v>70</v>
      </c>
      <c r="Z56" s="14">
        <f t="shared" si="7"/>
        <v>37.200000000000003</v>
      </c>
      <c r="AA56" s="14">
        <f t="shared" si="8"/>
        <v>32.799999999999997</v>
      </c>
      <c r="AB56" s="14">
        <f>ROUNDDOWN(AA56/4.65,0)</f>
        <v>7</v>
      </c>
      <c r="AC56" s="14">
        <v>9</v>
      </c>
      <c r="AD56" s="14"/>
      <c r="AE56" s="14">
        <v>23</v>
      </c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5"/>
      <c r="AR56" s="15"/>
      <c r="AS56" s="14"/>
      <c r="AT56" s="14"/>
      <c r="AU56" s="14"/>
      <c r="AV56" s="14"/>
      <c r="AW56" s="81"/>
    </row>
    <row r="57" spans="2:49" ht="16.5" customHeight="1" x14ac:dyDescent="0.25">
      <c r="B57" s="12" t="s">
        <v>90</v>
      </c>
      <c r="C57" s="19">
        <v>18</v>
      </c>
      <c r="D57" s="19">
        <v>18</v>
      </c>
      <c r="E57" s="19">
        <v>18</v>
      </c>
      <c r="F57" s="19">
        <v>18</v>
      </c>
      <c r="G57" s="19">
        <v>18</v>
      </c>
      <c r="H57" s="19">
        <v>18</v>
      </c>
      <c r="I57" s="19">
        <v>18</v>
      </c>
      <c r="J57" s="19">
        <v>18</v>
      </c>
      <c r="K57" s="19">
        <v>18</v>
      </c>
      <c r="L57" s="19">
        <v>18</v>
      </c>
      <c r="M57" s="19">
        <v>18</v>
      </c>
      <c r="N57" s="19">
        <v>18</v>
      </c>
      <c r="O57" s="21" t="s">
        <v>109</v>
      </c>
      <c r="P57" s="12"/>
      <c r="Q57" s="12" t="s">
        <v>50</v>
      </c>
      <c r="R57" s="12">
        <v>22</v>
      </c>
      <c r="S57" s="12">
        <v>24</v>
      </c>
      <c r="T57" s="12">
        <f t="shared" si="6"/>
        <v>-2</v>
      </c>
      <c r="U57" s="22" t="s">
        <v>59</v>
      </c>
      <c r="V57" s="12"/>
      <c r="W57" s="13">
        <v>3.67</v>
      </c>
      <c r="X57" s="14"/>
      <c r="Y57" s="17">
        <v>218</v>
      </c>
      <c r="Z57" s="14">
        <f t="shared" si="7"/>
        <v>83.7</v>
      </c>
      <c r="AA57" s="58">
        <f t="shared" si="8"/>
        <v>134.30000000000001</v>
      </c>
      <c r="AB57" s="23"/>
      <c r="AC57" s="14">
        <f t="shared" si="12"/>
        <v>0</v>
      </c>
      <c r="AD57" s="23"/>
      <c r="AE57" s="14">
        <v>154</v>
      </c>
      <c r="AF57" s="18" t="s">
        <v>110</v>
      </c>
      <c r="AG57" s="14">
        <v>1.1000000000000001</v>
      </c>
      <c r="AH57" s="14">
        <v>2.62</v>
      </c>
      <c r="AI57" s="14">
        <v>2025</v>
      </c>
      <c r="AJ57" s="14"/>
      <c r="AK57" s="14"/>
      <c r="AL57" s="14"/>
      <c r="AM57" s="14"/>
      <c r="AN57" s="14"/>
      <c r="AO57" s="14">
        <v>769</v>
      </c>
      <c r="AP57" s="14">
        <f t="shared" ref="AP57:AP58" si="18">AO57*AD57</f>
        <v>0</v>
      </c>
      <c r="AQ57" s="74"/>
      <c r="AR57" s="74"/>
      <c r="AS57" s="14"/>
      <c r="AT57" s="14">
        <v>-705200</v>
      </c>
      <c r="AU57" s="14">
        <v>113100</v>
      </c>
      <c r="AV57" s="14">
        <v>3211900</v>
      </c>
      <c r="AW57" s="81"/>
    </row>
    <row r="58" spans="2:49" x14ac:dyDescent="0.25">
      <c r="B58" s="12" t="s">
        <v>36</v>
      </c>
      <c r="C58" s="19">
        <v>42</v>
      </c>
      <c r="D58" s="19">
        <v>42</v>
      </c>
      <c r="E58" s="19">
        <v>42</v>
      </c>
      <c r="F58" s="19">
        <v>42</v>
      </c>
      <c r="G58" s="19">
        <v>42</v>
      </c>
      <c r="H58" s="19">
        <v>42</v>
      </c>
      <c r="I58" s="19">
        <v>42</v>
      </c>
      <c r="J58" s="19">
        <v>42</v>
      </c>
      <c r="K58" s="19">
        <v>42</v>
      </c>
      <c r="L58" s="19">
        <v>42</v>
      </c>
      <c r="M58" s="19">
        <v>42</v>
      </c>
      <c r="N58" s="19">
        <v>42</v>
      </c>
      <c r="O58" s="12" t="s">
        <v>111</v>
      </c>
      <c r="P58" s="12"/>
      <c r="Q58" s="12" t="s">
        <v>50</v>
      </c>
      <c r="R58" s="12">
        <v>60</v>
      </c>
      <c r="S58" s="12">
        <v>57</v>
      </c>
      <c r="T58" s="12">
        <f t="shared" si="6"/>
        <v>3</v>
      </c>
      <c r="U58" s="12">
        <v>20</v>
      </c>
      <c r="V58" s="12">
        <v>23</v>
      </c>
      <c r="W58" s="13">
        <v>8.9</v>
      </c>
      <c r="X58" s="14"/>
      <c r="Y58" s="14">
        <v>245</v>
      </c>
      <c r="Z58" s="14">
        <f t="shared" si="7"/>
        <v>195.3</v>
      </c>
      <c r="AA58" s="14">
        <f t="shared" si="8"/>
        <v>49.699999999999989</v>
      </c>
      <c r="AB58" s="14">
        <f>ROUNDDOWN(AA58/4.65,0)</f>
        <v>10</v>
      </c>
      <c r="AC58" s="14">
        <v>14</v>
      </c>
      <c r="AD58" s="14">
        <v>585</v>
      </c>
      <c r="AE58" s="14">
        <v>38</v>
      </c>
      <c r="AF58" s="18" t="s">
        <v>112</v>
      </c>
      <c r="AG58" s="14">
        <v>1.03</v>
      </c>
      <c r="AH58" s="14">
        <v>2.4300000000000002</v>
      </c>
      <c r="AI58" s="14">
        <v>2025</v>
      </c>
      <c r="AJ58" s="14">
        <v>2.6</v>
      </c>
      <c r="AK58" s="14">
        <v>3</v>
      </c>
      <c r="AL58" s="14">
        <v>3</v>
      </c>
      <c r="AM58" s="14">
        <v>2</v>
      </c>
      <c r="AN58" s="14"/>
      <c r="AO58" s="14">
        <v>777</v>
      </c>
      <c r="AP58" s="14">
        <f t="shared" si="18"/>
        <v>454545</v>
      </c>
      <c r="AQ58" s="74">
        <v>12737279</v>
      </c>
      <c r="AR58" s="74">
        <f>Y58*1500</f>
        <v>367500</v>
      </c>
      <c r="AS58" s="14"/>
      <c r="AT58" s="14">
        <v>-205100</v>
      </c>
      <c r="AU58" s="14">
        <v>485300</v>
      </c>
      <c r="AV58" s="14">
        <v>7786700</v>
      </c>
      <c r="AW58" s="81"/>
    </row>
    <row r="59" spans="2:49" hidden="1" x14ac:dyDescent="0.25">
      <c r="C59" s="38">
        <f>SUM(C4:C58)</f>
        <v>2488</v>
      </c>
      <c r="D59">
        <f>SUM(D4:D58)</f>
        <v>2456</v>
      </c>
      <c r="E59">
        <f t="shared" ref="E59:T59" si="19">SUM(E4:E58)</f>
        <v>2456</v>
      </c>
      <c r="F59">
        <f t="shared" si="19"/>
        <v>2456</v>
      </c>
      <c r="G59">
        <f t="shared" si="19"/>
        <v>2456</v>
      </c>
      <c r="H59">
        <f t="shared" si="19"/>
        <v>2456</v>
      </c>
      <c r="I59">
        <f t="shared" si="19"/>
        <v>2456</v>
      </c>
      <c r="J59">
        <f t="shared" si="19"/>
        <v>2456</v>
      </c>
      <c r="K59">
        <f t="shared" si="19"/>
        <v>2456</v>
      </c>
      <c r="L59">
        <f t="shared" si="19"/>
        <v>2456</v>
      </c>
      <c r="M59">
        <f t="shared" si="19"/>
        <v>2456</v>
      </c>
      <c r="N59">
        <f t="shared" si="19"/>
        <v>2456</v>
      </c>
      <c r="O59">
        <f t="shared" si="19"/>
        <v>0</v>
      </c>
      <c r="P59">
        <f t="shared" si="19"/>
        <v>0</v>
      </c>
      <c r="Q59">
        <f t="shared" si="19"/>
        <v>0</v>
      </c>
      <c r="R59">
        <f t="shared" si="19"/>
        <v>3753</v>
      </c>
      <c r="S59">
        <f t="shared" si="19"/>
        <v>3450</v>
      </c>
      <c r="T59">
        <f t="shared" si="19"/>
        <v>303</v>
      </c>
      <c r="U59">
        <f t="shared" ref="U59" si="20">SUM(U4:U58)</f>
        <v>281</v>
      </c>
      <c r="V59">
        <f t="shared" ref="V59" si="21">SUM(V4:V58)</f>
        <v>482</v>
      </c>
      <c r="W59">
        <f t="shared" ref="W59" si="22">SUM(W4:W58)</f>
        <v>585.50333333333344</v>
      </c>
      <c r="AA59" s="83"/>
      <c r="AB59">
        <f>SUM(AB3:AB58)</f>
        <v>526</v>
      </c>
      <c r="AC59">
        <f>SUM(AC3:AC58)</f>
        <v>711</v>
      </c>
      <c r="AE59" s="29"/>
      <c r="AF59" s="29"/>
    </row>
    <row r="60" spans="2:49" hidden="1" x14ac:dyDescent="0.25">
      <c r="B60" s="37" t="s">
        <v>113</v>
      </c>
      <c r="C60" s="39">
        <v>94</v>
      </c>
      <c r="D60" s="38">
        <v>499</v>
      </c>
      <c r="E60" s="40">
        <f>C60/D60</f>
        <v>0.18837675350701402</v>
      </c>
    </row>
    <row r="61" spans="2:49" hidden="1" x14ac:dyDescent="0.25">
      <c r="B61" s="37" t="s">
        <v>114</v>
      </c>
      <c r="C61" s="39">
        <v>868</v>
      </c>
      <c r="D61" s="38">
        <v>1093</v>
      </c>
      <c r="E61" s="40">
        <f>C61/D61</f>
        <v>0.79414455626715463</v>
      </c>
    </row>
    <row r="62" spans="2:49" hidden="1" x14ac:dyDescent="0.25">
      <c r="B62" s="37" t="s">
        <v>115</v>
      </c>
      <c r="C62" s="39">
        <v>1526</v>
      </c>
      <c r="D62" s="38">
        <v>1563</v>
      </c>
      <c r="E62" s="40">
        <f>C62/D62</f>
        <v>0.97632757517594371</v>
      </c>
    </row>
    <row r="63" spans="2:49" hidden="1" x14ac:dyDescent="0.25"/>
    <row r="64" spans="2:49" hidden="1" x14ac:dyDescent="0.25">
      <c r="B64" s="37" t="s">
        <v>116</v>
      </c>
      <c r="D64">
        <v>542</v>
      </c>
      <c r="E64">
        <v>542</v>
      </c>
      <c r="F64">
        <v>547</v>
      </c>
      <c r="G64">
        <v>551</v>
      </c>
      <c r="H64">
        <v>555</v>
      </c>
      <c r="I64">
        <v>557</v>
      </c>
      <c r="J64">
        <v>558</v>
      </c>
      <c r="K64">
        <v>559</v>
      </c>
      <c r="L64">
        <v>559</v>
      </c>
      <c r="M64">
        <v>560</v>
      </c>
    </row>
    <row r="65" spans="2:42" hidden="1" x14ac:dyDescent="0.25">
      <c r="B65" s="37" t="s">
        <v>117</v>
      </c>
      <c r="D65">
        <v>1117</v>
      </c>
      <c r="E65">
        <v>1080</v>
      </c>
      <c r="F65">
        <v>1082</v>
      </c>
      <c r="G65">
        <v>1088</v>
      </c>
      <c r="H65">
        <v>1098</v>
      </c>
      <c r="I65">
        <v>1108</v>
      </c>
      <c r="J65">
        <v>1114</v>
      </c>
      <c r="K65">
        <v>1116</v>
      </c>
      <c r="L65">
        <v>1118</v>
      </c>
      <c r="M65">
        <v>1120</v>
      </c>
    </row>
    <row r="66" spans="2:42" hidden="1" x14ac:dyDescent="0.25">
      <c r="B66" s="37" t="s">
        <v>118</v>
      </c>
      <c r="D66">
        <v>1534</v>
      </c>
      <c r="E66">
        <v>1591</v>
      </c>
      <c r="F66">
        <v>1623</v>
      </c>
      <c r="G66">
        <v>1651</v>
      </c>
      <c r="H66">
        <v>1619</v>
      </c>
      <c r="I66">
        <v>1626</v>
      </c>
      <c r="J66">
        <v>1637</v>
      </c>
      <c r="K66">
        <v>1652</v>
      </c>
      <c r="L66">
        <v>1663</v>
      </c>
      <c r="M66">
        <v>1670</v>
      </c>
    </row>
    <row r="67" spans="2:42" x14ac:dyDescent="0.25">
      <c r="D67">
        <f>SUM(D64:D66)</f>
        <v>3193</v>
      </c>
      <c r="E67">
        <f t="shared" ref="E67:M67" si="23">SUM(E64:E66)</f>
        <v>3213</v>
      </c>
      <c r="F67">
        <f t="shared" si="23"/>
        <v>3252</v>
      </c>
      <c r="G67">
        <f t="shared" si="23"/>
        <v>3290</v>
      </c>
      <c r="H67">
        <f t="shared" si="23"/>
        <v>3272</v>
      </c>
      <c r="I67">
        <f t="shared" si="23"/>
        <v>3291</v>
      </c>
      <c r="J67">
        <f t="shared" si="23"/>
        <v>3309</v>
      </c>
      <c r="K67">
        <f t="shared" si="23"/>
        <v>3327</v>
      </c>
      <c r="L67">
        <f t="shared" si="23"/>
        <v>3340</v>
      </c>
      <c r="M67">
        <f t="shared" si="23"/>
        <v>3350</v>
      </c>
      <c r="AP67" s="80">
        <f>AP14+AP15+AP16+AP17+AP18+AP19+AP25+AP26+AP27+AP28+AP38+AP41+AP43+AP47+AP48+AP49+AP50+AP51+AP52+AP53+AP54+AP55+AP57+AP58</f>
        <v>10879617</v>
      </c>
    </row>
    <row r="68" spans="2:42" ht="30" x14ac:dyDescent="0.25">
      <c r="B68" s="37" t="s">
        <v>119</v>
      </c>
      <c r="D68">
        <f>ROUND(D64*$E60,0)</f>
        <v>102</v>
      </c>
      <c r="E68">
        <f t="shared" ref="E68:M68" si="24">ROUND(E64*$E60,0)</f>
        <v>102</v>
      </c>
      <c r="F68">
        <f t="shared" si="24"/>
        <v>103</v>
      </c>
      <c r="G68">
        <f t="shared" si="24"/>
        <v>104</v>
      </c>
      <c r="H68">
        <f t="shared" si="24"/>
        <v>105</v>
      </c>
      <c r="I68">
        <f t="shared" si="24"/>
        <v>105</v>
      </c>
      <c r="J68">
        <f t="shared" si="24"/>
        <v>105</v>
      </c>
      <c r="K68">
        <f t="shared" si="24"/>
        <v>105</v>
      </c>
      <c r="L68">
        <f t="shared" si="24"/>
        <v>105</v>
      </c>
      <c r="M68">
        <f t="shared" si="24"/>
        <v>105</v>
      </c>
    </row>
    <row r="69" spans="2:42" x14ac:dyDescent="0.25">
      <c r="B69" s="37" t="s">
        <v>117</v>
      </c>
      <c r="D69">
        <f t="shared" ref="D69:M69" si="25">ROUND(D65*$E61,0)</f>
        <v>887</v>
      </c>
      <c r="E69">
        <f t="shared" si="25"/>
        <v>858</v>
      </c>
      <c r="F69">
        <f t="shared" si="25"/>
        <v>859</v>
      </c>
      <c r="G69">
        <f t="shared" si="25"/>
        <v>864</v>
      </c>
      <c r="H69">
        <f t="shared" si="25"/>
        <v>872</v>
      </c>
      <c r="I69">
        <f t="shared" si="25"/>
        <v>880</v>
      </c>
      <c r="J69">
        <f t="shared" si="25"/>
        <v>885</v>
      </c>
      <c r="K69">
        <f t="shared" si="25"/>
        <v>886</v>
      </c>
      <c r="L69">
        <f t="shared" si="25"/>
        <v>888</v>
      </c>
      <c r="M69">
        <f t="shared" si="25"/>
        <v>889</v>
      </c>
    </row>
    <row r="70" spans="2:42" x14ac:dyDescent="0.25">
      <c r="B70" s="37" t="s">
        <v>118</v>
      </c>
      <c r="D70">
        <f t="shared" ref="D70:M70" si="26">ROUND(D66*$E62,0)</f>
        <v>1498</v>
      </c>
      <c r="E70">
        <f t="shared" si="26"/>
        <v>1553</v>
      </c>
      <c r="F70">
        <f t="shared" si="26"/>
        <v>1585</v>
      </c>
      <c r="G70">
        <f t="shared" si="26"/>
        <v>1612</v>
      </c>
      <c r="H70">
        <f t="shared" si="26"/>
        <v>1581</v>
      </c>
      <c r="I70">
        <f t="shared" si="26"/>
        <v>1588</v>
      </c>
      <c r="J70">
        <f t="shared" si="26"/>
        <v>1598</v>
      </c>
      <c r="K70">
        <f t="shared" si="26"/>
        <v>1613</v>
      </c>
      <c r="L70">
        <f t="shared" si="26"/>
        <v>1624</v>
      </c>
      <c r="M70">
        <f t="shared" si="26"/>
        <v>1630</v>
      </c>
    </row>
    <row r="71" spans="2:42" x14ac:dyDescent="0.25">
      <c r="D71">
        <f>SUM(D68:D70)</f>
        <v>2487</v>
      </c>
      <c r="E71">
        <f t="shared" ref="E71:M71" si="27">SUM(E68:E70)</f>
        <v>2513</v>
      </c>
      <c r="F71">
        <f t="shared" si="27"/>
        <v>2547</v>
      </c>
      <c r="G71">
        <f t="shared" si="27"/>
        <v>2580</v>
      </c>
      <c r="H71">
        <f t="shared" si="27"/>
        <v>2558</v>
      </c>
      <c r="I71">
        <f t="shared" si="27"/>
        <v>2573</v>
      </c>
      <c r="J71">
        <f t="shared" si="27"/>
        <v>2588</v>
      </c>
      <c r="K71">
        <f t="shared" si="27"/>
        <v>2604</v>
      </c>
      <c r="L71">
        <f t="shared" si="27"/>
        <v>2617</v>
      </c>
      <c r="M71">
        <f t="shared" si="27"/>
        <v>2624</v>
      </c>
      <c r="N71">
        <f>M71-D71</f>
        <v>137</v>
      </c>
    </row>
    <row r="72" spans="2:42" x14ac:dyDescent="0.25">
      <c r="B72" s="37" t="s">
        <v>120</v>
      </c>
      <c r="D72" s="32">
        <f>-D59+D71</f>
        <v>31</v>
      </c>
      <c r="E72" s="32">
        <f t="shared" ref="E72:M72" si="28">-E59+E71</f>
        <v>57</v>
      </c>
      <c r="F72" s="32">
        <f t="shared" si="28"/>
        <v>91</v>
      </c>
      <c r="G72" s="32">
        <f t="shared" si="28"/>
        <v>124</v>
      </c>
      <c r="H72" s="32">
        <f t="shared" si="28"/>
        <v>102</v>
      </c>
      <c r="I72" s="32">
        <f t="shared" si="28"/>
        <v>117</v>
      </c>
      <c r="J72" s="32">
        <f t="shared" si="28"/>
        <v>132</v>
      </c>
      <c r="K72" s="32">
        <f t="shared" si="28"/>
        <v>148</v>
      </c>
      <c r="L72" s="32">
        <f t="shared" si="28"/>
        <v>161</v>
      </c>
      <c r="M72" s="32">
        <f t="shared" si="28"/>
        <v>168</v>
      </c>
    </row>
    <row r="74" spans="2:42" x14ac:dyDescent="0.25">
      <c r="D74">
        <f>D71/D67</f>
        <v>0.77889132477294076</v>
      </c>
    </row>
    <row r="75" spans="2:42" x14ac:dyDescent="0.25">
      <c r="D75">
        <f>(C62+C61)/(D61+D62)</f>
        <v>0.90135542168674698</v>
      </c>
    </row>
  </sheetData>
  <autoFilter ref="B2:AV66" xr:uid="{339B557C-285C-47C0-B635-8FE15BB9525D}">
    <filterColumn colId="15">
      <filters>
        <filter val="K"/>
      </filters>
    </filterColumn>
    <sortState xmlns:xlrd2="http://schemas.microsoft.com/office/spreadsheetml/2017/richdata2" ref="B14:AV58">
      <sortCondition ref="O2:O62"/>
    </sortState>
  </autoFilter>
  <mergeCells count="1">
    <mergeCell ref="C1:N1"/>
  </mergeCells>
  <phoneticPr fontId="8" type="noConversion"/>
  <conditionalFormatting sqref="AG4:AH5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:AM2 AJ4:AM5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604AC55CF44A45B379E1E22005C59B" ma:contentTypeVersion="7" ma:contentTypeDescription="Opprett et nytt dokument." ma:contentTypeScope="" ma:versionID="53f3078d23fcd66f60d858a8fe25e090">
  <xsd:schema xmlns:xsd="http://www.w3.org/2001/XMLSchema" xmlns:xs="http://www.w3.org/2001/XMLSchema" xmlns:p="http://schemas.microsoft.com/office/2006/metadata/properties" xmlns:ns2="2ae80dfe-475d-4848-9bba-625001d85912" xmlns:ns3="9b7497e0-8084-4dd0-a29b-5096955fb75b" targetNamespace="http://schemas.microsoft.com/office/2006/metadata/properties" ma:root="true" ma:fieldsID="43259b26dac610e5ee3469251e98ab90" ns2:_="" ns3:_="">
    <xsd:import namespace="2ae80dfe-475d-4848-9bba-625001d85912"/>
    <xsd:import namespace="9b7497e0-8084-4dd0-a29b-5096955fb7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80dfe-475d-4848-9bba-625001d85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497e0-8084-4dd0-a29b-5096955fb7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286A0-05C5-4195-95B0-A03C4E607640}">
  <ds:schemaRefs>
    <ds:schemaRef ds:uri="9b7497e0-8084-4dd0-a29b-5096955fb75b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2ae80dfe-475d-4848-9bba-625001d85912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F1346A-981A-416D-989B-6FD8F2979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80dfe-475d-4848-9bba-625001d85912"/>
    <ds:schemaRef ds:uri="9b7497e0-8084-4dd0-a29b-5096955fb7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F65B1A-1B68-4D14-B162-D97174A80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Vedlegg 1. Grunndata bhg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Harald Sæverud</dc:creator>
  <cp:keywords/>
  <dc:description/>
  <cp:lastModifiedBy>Jan Ove Tangstad</cp:lastModifiedBy>
  <cp:revision/>
  <dcterms:created xsi:type="dcterms:W3CDTF">2022-01-18T12:04:58Z</dcterms:created>
  <dcterms:modified xsi:type="dcterms:W3CDTF">2023-11-16T17:44:46Z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0x0101007D604AC55CF44A45B379E1E22005C59B</vt:lpwstr>
  </property>
</Properties>
</file>