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mob.sharepoint.com/sites/Barnehage-ogskolebehovsplanrevisjon/Delte dokumenter/General/Bh og skolebehovsplan kladd/Vedlegg til planen/"/>
    </mc:Choice>
  </mc:AlternateContent>
  <xr:revisionPtr revIDLastSave="141" documentId="8_{7B22DDE7-1A85-4748-B7D9-5CE576632C5B}" xr6:coauthVersionLast="46" xr6:coauthVersionMax="47" xr10:uidLastSave="{52D51A07-B8E6-446F-8A68-ED7FCE897491}"/>
  <bookViews>
    <workbookView xWindow="-108" yWindow="-108" windowWidth="23256" windowHeight="12576" xr2:uid="{9537DBF3-EE20-490B-8CD6-CCE4A20772EA}"/>
  </bookViews>
  <sheets>
    <sheet name="7.4 Økonomiske konsekvenser" sheetId="1" r:id="rId1"/>
  </sheets>
  <externalReferences>
    <externalReference r:id="rId2"/>
  </externalReferences>
  <definedNames>
    <definedName name="_xlnm._FilterDatabase" localSheetId="0" hidden="1">'7.4 Økonomiske konsekvenser'!$B$4:$D$4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1" l="1"/>
  <c r="N48" i="1"/>
  <c r="M48" i="1"/>
  <c r="J48" i="1"/>
  <c r="P47" i="1"/>
  <c r="J47" i="1"/>
  <c r="I47" i="1"/>
  <c r="N47" i="1" s="1"/>
  <c r="G47" i="1"/>
  <c r="M47" i="1" s="1"/>
  <c r="U46" i="1"/>
  <c r="T46" i="1"/>
  <c r="P46" i="1"/>
  <c r="O46" i="1"/>
  <c r="Q46" i="1" s="1"/>
  <c r="N46" i="1"/>
  <c r="M46" i="1"/>
  <c r="R46" i="1" s="1"/>
  <c r="J46" i="1"/>
  <c r="P45" i="1"/>
  <c r="O45" i="1"/>
  <c r="Q45" i="1" s="1"/>
  <c r="N45" i="1"/>
  <c r="S45" i="1" s="1"/>
  <c r="M45" i="1"/>
  <c r="J45" i="1"/>
  <c r="P44" i="1"/>
  <c r="J44" i="1"/>
  <c r="I44" i="1"/>
  <c r="N44" i="1" s="1"/>
  <c r="E44" i="1"/>
  <c r="G44" i="1" s="1"/>
  <c r="M44" i="1" s="1"/>
  <c r="P43" i="1"/>
  <c r="O43" i="1"/>
  <c r="Q43" i="1" s="1"/>
  <c r="N43" i="1"/>
  <c r="M43" i="1"/>
  <c r="J43" i="1"/>
  <c r="P42" i="1"/>
  <c r="O42" i="1"/>
  <c r="Q42" i="1" s="1"/>
  <c r="N42" i="1"/>
  <c r="S42" i="1" s="1"/>
  <c r="M42" i="1"/>
  <c r="R42" i="1" s="1"/>
  <c r="J42" i="1"/>
  <c r="P41" i="1"/>
  <c r="J41" i="1"/>
  <c r="P40" i="1"/>
  <c r="O40" i="1"/>
  <c r="Q40" i="1" s="1"/>
  <c r="N40" i="1"/>
  <c r="M40" i="1"/>
  <c r="J40" i="1"/>
  <c r="P39" i="1"/>
  <c r="J39" i="1"/>
  <c r="P34" i="1"/>
  <c r="N34" i="1"/>
  <c r="M34" i="1"/>
  <c r="J34" i="1"/>
  <c r="U33" i="1"/>
  <c r="T33" i="1"/>
  <c r="P33" i="1"/>
  <c r="N33" i="1"/>
  <c r="M33" i="1"/>
  <c r="J33" i="1"/>
  <c r="P32" i="1"/>
  <c r="N32" i="1"/>
  <c r="M32" i="1"/>
  <c r="J32" i="1"/>
  <c r="E32" i="1"/>
  <c r="E33" i="1" s="1"/>
  <c r="E34" i="1" s="1"/>
  <c r="P31" i="1"/>
  <c r="O31" i="1"/>
  <c r="Q31" i="1" s="1"/>
  <c r="N31" i="1"/>
  <c r="M31" i="1"/>
  <c r="J31" i="1"/>
  <c r="E31" i="1"/>
  <c r="P30" i="1"/>
  <c r="O30" i="1"/>
  <c r="Q30" i="1" s="1"/>
  <c r="N30" i="1"/>
  <c r="M30" i="1"/>
  <c r="J30" i="1"/>
  <c r="P29" i="1"/>
  <c r="O29" i="1"/>
  <c r="N29" i="1"/>
  <c r="M29" i="1"/>
  <c r="J29" i="1"/>
  <c r="U28" i="1"/>
  <c r="T28" i="1"/>
  <c r="P28" i="1"/>
  <c r="M28" i="1"/>
  <c r="J28" i="1"/>
  <c r="G28" i="1"/>
  <c r="I28" i="1" s="1"/>
  <c r="N28" i="1" s="1"/>
  <c r="P27" i="1"/>
  <c r="O27" i="1"/>
  <c r="O28" i="1" s="1"/>
  <c r="Q28" i="1" s="1"/>
  <c r="N27" i="1"/>
  <c r="M27" i="1"/>
  <c r="J27" i="1"/>
  <c r="I27" i="1"/>
  <c r="G27" i="1"/>
  <c r="Q26" i="1"/>
  <c r="P26" i="1"/>
  <c r="O26" i="1"/>
  <c r="N26" i="1"/>
  <c r="S26" i="1" s="1"/>
  <c r="M26" i="1"/>
  <c r="J26" i="1"/>
  <c r="I26" i="1"/>
  <c r="P25" i="1"/>
  <c r="M25" i="1"/>
  <c r="L25" i="1"/>
  <c r="N25" i="1" s="1"/>
  <c r="S25" i="1" s="1"/>
  <c r="K25" i="1"/>
  <c r="J25" i="1"/>
  <c r="E25" i="1"/>
  <c r="U24" i="1"/>
  <c r="T24" i="1"/>
  <c r="P24" i="1"/>
  <c r="O24" i="1"/>
  <c r="O25" i="1" s="1"/>
  <c r="Q25" i="1" s="1"/>
  <c r="R25" i="1" s="1"/>
  <c r="N24" i="1"/>
  <c r="M24" i="1"/>
  <c r="J24" i="1"/>
  <c r="E24" i="1"/>
  <c r="P23" i="1"/>
  <c r="O23" i="1"/>
  <c r="Q23" i="1" s="1"/>
  <c r="M23" i="1"/>
  <c r="J23" i="1"/>
  <c r="G23" i="1"/>
  <c r="E23" i="1"/>
  <c r="I23" i="1" s="1"/>
  <c r="N23" i="1" s="1"/>
  <c r="S23" i="1" s="1"/>
  <c r="P22" i="1"/>
  <c r="Q22" i="1" s="1"/>
  <c r="Q55" i="1" s="1"/>
  <c r="O22" i="1"/>
  <c r="J22" i="1"/>
  <c r="E22" i="1"/>
  <c r="G22" i="1" s="1"/>
  <c r="P21" i="1"/>
  <c r="O21" i="1"/>
  <c r="Q21" i="1" s="1"/>
  <c r="M21" i="1"/>
  <c r="R21" i="1" s="1"/>
  <c r="J21" i="1"/>
  <c r="G21" i="1"/>
  <c r="I21" i="1" s="1"/>
  <c r="N21" i="1" s="1"/>
  <c r="S21" i="1" s="1"/>
  <c r="E21" i="1"/>
  <c r="P20" i="1"/>
  <c r="J20" i="1"/>
  <c r="E20" i="1"/>
  <c r="G20" i="1" s="1"/>
  <c r="M20" i="1" s="1"/>
  <c r="P19" i="1"/>
  <c r="O19" i="1"/>
  <c r="Q19" i="1" s="1"/>
  <c r="J19" i="1"/>
  <c r="G19" i="1"/>
  <c r="M19" i="1" s="1"/>
  <c r="E19" i="1"/>
  <c r="P18" i="1"/>
  <c r="O18" i="1"/>
  <c r="Q18" i="1" s="1"/>
  <c r="N18" i="1"/>
  <c r="M18" i="1"/>
  <c r="M54" i="1" s="1"/>
  <c r="J18" i="1"/>
  <c r="P17" i="1"/>
  <c r="O17" i="1"/>
  <c r="J17" i="1"/>
  <c r="E17" i="1"/>
  <c r="G17" i="1" s="1"/>
  <c r="P16" i="1"/>
  <c r="N16" i="1"/>
  <c r="M16" i="1"/>
  <c r="J16" i="1"/>
  <c r="I16" i="1"/>
  <c r="P15" i="1"/>
  <c r="N15" i="1"/>
  <c r="M15" i="1"/>
  <c r="J15" i="1"/>
  <c r="P14" i="1"/>
  <c r="O14" i="1"/>
  <c r="Q14" i="1" s="1"/>
  <c r="N14" i="1"/>
  <c r="M14" i="1"/>
  <c r="J14" i="1"/>
  <c r="P13" i="1"/>
  <c r="Q13" i="1" s="1"/>
  <c r="O13" i="1"/>
  <c r="J13" i="1"/>
  <c r="P12" i="1"/>
  <c r="J12" i="1"/>
  <c r="P11" i="1"/>
  <c r="J11" i="1"/>
  <c r="G11" i="1"/>
  <c r="M11" i="1" s="1"/>
  <c r="U10" i="1"/>
  <c r="T10" i="1"/>
  <c r="P10" i="1"/>
  <c r="M10" i="1"/>
  <c r="M53" i="1" s="1"/>
  <c r="J10" i="1"/>
  <c r="P9" i="1"/>
  <c r="J9" i="1"/>
  <c r="P8" i="1"/>
  <c r="J8" i="1"/>
  <c r="P7" i="1"/>
  <c r="N7" i="1"/>
  <c r="J7" i="1"/>
  <c r="P6" i="1"/>
  <c r="N6" i="1"/>
  <c r="M6" i="1"/>
  <c r="J6" i="1"/>
  <c r="G6" i="1"/>
  <c r="P5" i="1"/>
  <c r="N5" i="1"/>
  <c r="J5" i="1"/>
  <c r="E5" i="1"/>
  <c r="G5" i="1" s="1"/>
  <c r="M5" i="1" s="1"/>
  <c r="R26" i="1" l="1"/>
  <c r="S18" i="1"/>
  <c r="S28" i="1"/>
  <c r="R40" i="1"/>
  <c r="M17" i="1"/>
  <c r="I17" i="1"/>
  <c r="N17" i="1" s="1"/>
  <c r="R23" i="1"/>
  <c r="S40" i="1"/>
  <c r="S46" i="1"/>
  <c r="I22" i="1"/>
  <c r="N22" i="1" s="1"/>
  <c r="M22" i="1"/>
  <c r="R28" i="1"/>
  <c r="R30" i="1"/>
  <c r="R43" i="1"/>
  <c r="S30" i="1"/>
  <c r="S43" i="1"/>
  <c r="R45" i="1"/>
  <c r="I19" i="1"/>
  <c r="O32" i="1"/>
  <c r="O5" i="1"/>
  <c r="Q24" i="1"/>
  <c r="S24" i="1" s="1"/>
  <c r="Q27" i="1"/>
  <c r="R27" i="1" s="1"/>
  <c r="R18" i="1"/>
  <c r="E6" i="1"/>
  <c r="E7" i="1" s="1"/>
  <c r="E18" i="1"/>
  <c r="O20" i="1"/>
  <c r="Q20" i="1" s="1"/>
  <c r="R20" i="1" s="1"/>
  <c r="S27" i="1" l="1"/>
  <c r="S22" i="1"/>
  <c r="N55" i="1"/>
  <c r="S55" i="1" s="1"/>
  <c r="R24" i="1"/>
  <c r="O12" i="1"/>
  <c r="Q12" i="1" s="1"/>
  <c r="O10" i="1"/>
  <c r="Q10" i="1" s="1"/>
  <c r="O9" i="1"/>
  <c r="Q9" i="1" s="1"/>
  <c r="O8" i="1"/>
  <c r="Q8" i="1" s="1"/>
  <c r="Q5" i="1"/>
  <c r="O11" i="1"/>
  <c r="Q11" i="1" s="1"/>
  <c r="R11" i="1" s="1"/>
  <c r="O6" i="1"/>
  <c r="Q6" i="1" s="1"/>
  <c r="O7" i="1"/>
  <c r="Q7" i="1" s="1"/>
  <c r="S7" i="1" s="1"/>
  <c r="Q32" i="1"/>
  <c r="O33" i="1"/>
  <c r="N19" i="1"/>
  <c r="I20" i="1"/>
  <c r="N20" i="1" s="1"/>
  <c r="E8" i="1"/>
  <c r="G7" i="1"/>
  <c r="M7" i="1" s="1"/>
  <c r="R7" i="1" s="1"/>
  <c r="R22" i="1"/>
  <c r="M55" i="1"/>
  <c r="R55" i="1" s="1"/>
  <c r="G8" i="1" l="1"/>
  <c r="M8" i="1" s="1"/>
  <c r="I8" i="1"/>
  <c r="N8" i="1" s="1"/>
  <c r="E9" i="1"/>
  <c r="N54" i="1"/>
  <c r="S20" i="1"/>
  <c r="O34" i="1"/>
  <c r="Q34" i="1" s="1"/>
  <c r="Q33" i="1"/>
  <c r="Q53" i="1"/>
  <c r="R53" i="1" s="1"/>
  <c r="R10" i="1"/>
  <c r="S32" i="1"/>
  <c r="R32" i="1"/>
  <c r="S33" i="1" l="1"/>
  <c r="Q54" i="1"/>
  <c r="R54" i="1" s="1"/>
  <c r="R33" i="1"/>
  <c r="R34" i="1"/>
  <c r="S34" i="1"/>
  <c r="I9" i="1"/>
  <c r="N9" i="1" s="1"/>
  <c r="E10" i="1"/>
  <c r="G9" i="1"/>
  <c r="M9" i="1" s="1"/>
  <c r="E11" i="1" l="1"/>
  <c r="I10" i="1"/>
  <c r="N10" i="1" s="1"/>
  <c r="S54" i="1"/>
  <c r="N53" i="1" l="1"/>
  <c r="S53" i="1" s="1"/>
  <c r="S10" i="1"/>
  <c r="I11" i="1"/>
  <c r="N11" i="1" s="1"/>
  <c r="S11" i="1" s="1"/>
  <c r="E12" i="1"/>
  <c r="I12" i="1" l="1"/>
  <c r="N12" i="1" s="1"/>
  <c r="S12" i="1" s="1"/>
  <c r="G12" i="1"/>
  <c r="M12" i="1" s="1"/>
  <c r="R12" i="1" s="1"/>
</calcChain>
</file>

<file path=xl/sharedStrings.xml><?xml version="1.0" encoding="utf-8"?>
<sst xmlns="http://schemas.openxmlformats.org/spreadsheetml/2006/main" count="313" uniqueCount="181">
  <si>
    <t>Investeringsbehov</t>
  </si>
  <si>
    <t>Driftsbesparelse</t>
  </si>
  <si>
    <t>Verdivurdering</t>
  </si>
  <si>
    <t>Underkategori</t>
  </si>
  <si>
    <t>Påvirket areal est.</t>
  </si>
  <si>
    <t>Vedlikehold /Investeringsnivå</t>
  </si>
  <si>
    <t>Investeringsnivå (kr kvm)</t>
  </si>
  <si>
    <t>Totalt investeringsnivå</t>
  </si>
  <si>
    <t>Dagens årlige driftskostnad ved tjenesten</t>
  </si>
  <si>
    <t>Estimert driftsbesparelse</t>
  </si>
  <si>
    <t>Årlig besparelse</t>
  </si>
  <si>
    <t xml:space="preserve">Tilbakebetaling av investering i år </t>
  </si>
  <si>
    <t>Bygg</t>
  </si>
  <si>
    <t>Tomt</t>
  </si>
  <si>
    <t>Tiltakskode</t>
  </si>
  <si>
    <t>Sone</t>
  </si>
  <si>
    <t>Alternativbeskrivelse skoler</t>
  </si>
  <si>
    <t>Dagens areal</t>
  </si>
  <si>
    <t>Beskrivelse av minimums behandlet areal</t>
  </si>
  <si>
    <t>Min</t>
  </si>
  <si>
    <t>Beskrivelse av maximums behandlet areal</t>
  </si>
  <si>
    <t>Max</t>
  </si>
  <si>
    <t>3 = lav kostnad , 0 = høy kostnad</t>
  </si>
  <si>
    <t xml:space="preserve">Min </t>
  </si>
  <si>
    <t>Årlig lønnnivå, Årlig variabel kost + årlig eiendomsdriftskost</t>
  </si>
  <si>
    <t>Estimatet driftsbesparelse i tidligere vurdering går fra 0 = 0 %, 1 = 10 %, 2 = 20 %, 3 = 30 % til 30 %</t>
  </si>
  <si>
    <t>Kommentar</t>
  </si>
  <si>
    <t>Sentrum</t>
  </si>
  <si>
    <t>Alternativ 0</t>
  </si>
  <si>
    <t>Uendret østbyen</t>
  </si>
  <si>
    <t>Alternativ 1</t>
  </si>
  <si>
    <t>Estimert min. areal behandlet (80 %)</t>
  </si>
  <si>
    <t>Alternativ 2</t>
  </si>
  <si>
    <t>Bygge ny  skole</t>
  </si>
  <si>
    <t>Estimert min. areal er likt dagens areal</t>
  </si>
  <si>
    <t>Estimerer noe driftsbesparelser i eiendomsdriftskostnad ifb. med nybygging</t>
  </si>
  <si>
    <t>Alternativ 3</t>
  </si>
  <si>
    <t>Renovere skolen i et 15 års perspektiv</t>
  </si>
  <si>
    <t>Maksimalt areal + muligens et tilbygg</t>
  </si>
  <si>
    <t>Alternativ 4</t>
  </si>
  <si>
    <t>Renovere skolen i et 5-8 års perspektiv</t>
  </si>
  <si>
    <t>7.1</t>
  </si>
  <si>
    <t>Alternativ 5</t>
  </si>
  <si>
    <t>Rive og sannere bygget</t>
  </si>
  <si>
    <t>Alternativ 6</t>
  </si>
  <si>
    <t>Alternativ 7</t>
  </si>
  <si>
    <t>1-4 skole på Østbyen</t>
  </si>
  <si>
    <t>Eksisternde kostnadnivå beholdes, men skolen står da 50 % ledig.</t>
  </si>
  <si>
    <t>Alstad</t>
  </si>
  <si>
    <t>Beholde Bodøsjøen som en 1-10 skole - Innebærer modulbygg eller annen utvidelse</t>
  </si>
  <si>
    <t>Tilbygg på ca 1000 kvm for å ha plass til nye elever</t>
  </si>
  <si>
    <t>Vil ikke være relevant å sammenlikne driftskostnader</t>
  </si>
  <si>
    <t>Ingen antatte driftsbesparelser.</t>
  </si>
  <si>
    <t>Alberthaugen</t>
  </si>
  <si>
    <t>7.2</t>
  </si>
  <si>
    <t>BVO</t>
  </si>
  <si>
    <t>Rønvik-Saltvern</t>
  </si>
  <si>
    <t>Beholde som i dag: Rønvik 1-10 og Saltvern 1-10</t>
  </si>
  <si>
    <t>7.3</t>
  </si>
  <si>
    <t>Rønvik 8-10 og Saltvern 1-7</t>
  </si>
  <si>
    <t>Norsia</t>
  </si>
  <si>
    <t>Skaug oppvekstsenter med bhg og trinn 1-7 beholdes</t>
  </si>
  <si>
    <t>Vedlikehold av hele skolen</t>
  </si>
  <si>
    <t>Tverlandet-Satstraumen</t>
  </si>
  <si>
    <t>Bodø naturskole</t>
  </si>
  <si>
    <t>Vesentlig vedlikeholdsbehov på ca 600 kvm av bygningsmassen</t>
  </si>
  <si>
    <t>Skjerstad-Misvær</t>
  </si>
  <si>
    <t>Beholde 1-10 på begge skolene + oppvekstsenter</t>
  </si>
  <si>
    <t xml:space="preserve">Administrativ sammenslåing </t>
  </si>
  <si>
    <t>Samlokalisering av skolene på en lokasjon</t>
  </si>
  <si>
    <t>Samlokalisering av u-trinnene på en av skolene</t>
  </si>
  <si>
    <t>Vil kreve justering av ca. 800 kvm av Misvær skole</t>
  </si>
  <si>
    <t>Vil kreve en noe større justering ca. 1500 kvm av Misvær skole</t>
  </si>
  <si>
    <t>Legge ned Bjerkenga miljøbarnehage og flytte barn til nærliggende barnehager</t>
  </si>
  <si>
    <t>Bodøsjøen-Alstad-Grønnåsen</t>
  </si>
  <si>
    <t>Barnehagen legges ned og de øvrige private barnehagene forventes å kunne ta kapasiteten. Barnehagebygget kan så klargjøres for salg</t>
  </si>
  <si>
    <t>ikke vurdert</t>
  </si>
  <si>
    <t>Mørkved</t>
  </si>
  <si>
    <t>Legge ned Gjæran barnehage (Osphaugen og Messiosen)</t>
  </si>
  <si>
    <t>Barnehagen legges ned og de øvrige private og kommunale barnehagene forventes å kunne ta kapasiteten. Barnehagebygget kan så klargjøres for salg.</t>
  </si>
  <si>
    <t>Beholde Skaug barnehage som i dag selv om skolen potensielt flyttes</t>
  </si>
  <si>
    <t>Estimert totalt arealandel som er knyttet til Skaug barnehage. Dette arealet må vedlikeholdes. Ca 50 %</t>
  </si>
  <si>
    <t>Estimert totalt arealandel som er knyttet til Skaug barnehage. Dette arealet må vedlikeholdes. 100 %</t>
  </si>
  <si>
    <t>laternativ 1</t>
  </si>
  <si>
    <t>Estimering av kostnad av tiltakspakkene samlet</t>
  </si>
  <si>
    <t>Årlig drifsbesparelse samlet</t>
  </si>
  <si>
    <t>Totalrenovering Østbyen</t>
  </si>
  <si>
    <t>Ingen endringer på u-trinn ved Bankgata skole</t>
  </si>
  <si>
    <t>Stykke opp BVO mellom Flykningekontoret og ungdomsskolene</t>
  </si>
  <si>
    <t>Skaug skole legges ned og elever flyttes til Løpsmark.  Kjerringøy, Skaug og Løpsmark slås sammen til felles administrativ enhet</t>
  </si>
  <si>
    <t>Etablere oppvekstsenter i Saltstraumen og 1-10 skole. Vil føre til nedleggelse av Saltstraumen barnehage</t>
  </si>
  <si>
    <t>Etablere oppvekstsenter i Saltstraumen med 1-7 skole og flytte u-trinn fra Saltstraumen skole til Tverlandet skole. Vil føre til nedleggelse av Saltstraumen barnehage</t>
  </si>
  <si>
    <t xml:space="preserve">Beholde Bodø Naturskole på Vatnlia. </t>
  </si>
  <si>
    <t>Legge ned Bodø Naturskole og skolene gjennomfører leirskoleaktivitet i egenregi</t>
  </si>
  <si>
    <t>Legge ned Regnbuen og flytte barn og personale til Rønvik Barnehage</t>
  </si>
  <si>
    <t>Legge ned barnehagedelen i Skaug Oppvekstsenter (dersom skolen legges ned)</t>
  </si>
  <si>
    <t xml:space="preserve">Legge ned Østbyen og flytte barn til nærliggende skoler </t>
  </si>
  <si>
    <t>Redusere elevantallet på Østbyen med 30 % (justere inntaksområder)</t>
  </si>
  <si>
    <t>Fylle opp u-trinn på Bankgata med elever fra Bodøsjøen skole</t>
  </si>
  <si>
    <t>Gjøre om Bodøsjøen skole til 1 - 7 skole. Flytte u-trinn fra Bodøsjøen til Bankgata ungdomsskole (og Alstad ungdomsskole)</t>
  </si>
  <si>
    <t xml:space="preserve">Fortsatt leie to lokaler hos Nordland Fylkeskommune og benytte Linken </t>
  </si>
  <si>
    <t>Flytte fra Alberthaugen og ta i bruk andre kommunale lokaler + knytte administrativt til en større skole</t>
  </si>
  <si>
    <t>BVO fortsatt som en enhet i Nordstrandveien</t>
  </si>
  <si>
    <t>Flytte elever fra 5.-7. trinn fra Skaug til Løpsmark. Kjerringøy, Skaug og Løpsmark slås sammen som felles administrativ enhet.</t>
  </si>
  <si>
    <t>Beholde 1-10 på Saltstraumen skole og opprettholde Saltstraumen barnehage på Tuv</t>
  </si>
  <si>
    <t>Beholde Regnbuen barnehage samlokalisert med Barnas Hus</t>
  </si>
  <si>
    <t>Beholde barnehagestrukturen i sentrum/Rønvik:  Rensåsen, Bjerkenga og Regnbuen iht. dagens struktur</t>
  </si>
  <si>
    <t>Legge ned Rensåsen barnehage og flytte barn til nærliggende barnehager</t>
  </si>
  <si>
    <t xml:space="preserve">Beholde barnehagestrukturen i Alstad-Innstranden (Stokkvik, Gjæran avd. m/to avdelinger) som i dag og ikke benytte seg av nybygd kapasitet på to avdelinger i Mørkvedbukta.  </t>
  </si>
  <si>
    <t>Legge ned Stokkvika barnehage og flytte barn til nærliggende barnehager</t>
  </si>
  <si>
    <t>Beskrivelse av minimum behandlet areal</t>
  </si>
  <si>
    <t>Beskrivelse av maximum behandlet areal</t>
  </si>
  <si>
    <t>Vedlikehold Østbyen (ingen endring, bare utskiftning)</t>
  </si>
  <si>
    <t>Full to-parallell skole med plass til 390 elever fra STD rom og funksjonsprogram.</t>
  </si>
  <si>
    <t>Rive og sanere eksisterende bygg, muligens noe tilpasning ved Aspåsen. Samt potensiell benyttelse av modulbygget ved behov</t>
  </si>
  <si>
    <t>Hele skolen vil ikke bli behandlet (50 %)</t>
  </si>
  <si>
    <t>Hele skolen vil antakelig ikke bli behandlet. Antar 70 % av arealet</t>
  </si>
  <si>
    <t>Hele skolen vil antakelig ikke bli behandlet (50 %). Skolen er tilrettelagt for 1-4 allerede.</t>
  </si>
  <si>
    <t>Hele skolen vil antakelig ikke bli behandlet. Vi antar maks. 70 % av arealet. Skolen er allerede tilrettelagt for 1-4</t>
  </si>
  <si>
    <t>Ikke tatt med arealdata her. Veldikeholdskostnader ikke relevant for alternativ 1</t>
  </si>
  <si>
    <t>Ikke behov for tilpasning ved Bankgata</t>
  </si>
  <si>
    <t>Mindre tilpasning estimert til å være ca. dagens arealbehov</t>
  </si>
  <si>
    <t>Tilrettelegge u-skoledelen på Bodøsjøen til barneskole</t>
  </si>
  <si>
    <t>Tilrettelegge både Bankgata og Bodøsjøen skole til ny situasjon</t>
  </si>
  <si>
    <t>,</t>
  </si>
  <si>
    <t>Dagens arealer omfatter 758 kvm ved Bodø Kultursenter og litt over halve tidligere Linken barnehage (ca.200 kvm). Her må Alberthaughen vedlikeholdes samt Linken gjøres til permanent lokasjon</t>
  </si>
  <si>
    <t>Ved samlokalisering antar vi det er mulig med 30 % arealeffektivsering</t>
  </si>
  <si>
    <t>Tar høyde for økt arealbehov på ca. 30 %</t>
  </si>
  <si>
    <t>Det er gjort vurderinger som tilsier at BVO kan klare seg med mindre arealer (ca. 900m2)</t>
  </si>
  <si>
    <t>Antatt at det vil være arealbesparelser ved å fordele over flere lokasjoner. Eiendomskostnadene ligger i å tilpasse eksisterende bygg</t>
  </si>
  <si>
    <t>Ingen arealbesparelser utover tidligere vurdert reduksjon</t>
  </si>
  <si>
    <t>Ant. ingen reelle arealbesparelser</t>
  </si>
  <si>
    <t>Ant ingen reelle arealbesparelser</t>
  </si>
  <si>
    <t xml:space="preserve">Vedlikehold av 80 % av skolen. </t>
  </si>
  <si>
    <t xml:space="preserve">Det antas at store deler av elevmassen vil kunne overføres til Løpsmark. Vi har sett behov for å justere ca 600 kvm på Løpsmark. </t>
  </si>
  <si>
    <t>Tilpasse 900 kvm av arealet på Løpsmark.</t>
  </si>
  <si>
    <t>Medfører at Skaug skole må vedlikeholdes samt noe tilpasning av Løpsmark</t>
  </si>
  <si>
    <t>Medfører at Skaug skole må vedlikeholdes, samt noe tilpasning ved Løpsmark</t>
  </si>
  <si>
    <t>Vedlikeholdsbehov ved Saltstraumen barnehage</t>
  </si>
  <si>
    <t xml:space="preserve">Ikke tatt med arealdata for vedlikehold av skolen, da dette ikke er relevant for å vurdere alternativ 1 og 2. </t>
  </si>
  <si>
    <t>Utflytting fra Saltstraumen barnehage. Medfører sanering av bygg samt mulig behov for noe utvidelse av skolen</t>
  </si>
  <si>
    <t>Utflytting fra barnehagen</t>
  </si>
  <si>
    <t>Utflytting fra Saltstraumen barnehage. Medfører sanering av bygg, samt behov for tilpasning ved Saltstraumen skole og Tverlandet skole</t>
  </si>
  <si>
    <t>Mulig scenario er sanering av gamle bygg og reeetblering av nye bygg. Total behandlet areal blir 1200</t>
  </si>
  <si>
    <t>Sanere evt. selge bygget slik det er</t>
  </si>
  <si>
    <t>Vedlikeholdskosntader ikke relevant for alternativet</t>
  </si>
  <si>
    <t>Vil kreve justering av ca. 500 kvm ved Misvær skole</t>
  </si>
  <si>
    <t>Vil kreve  justering ca. 800 kvm ved Misvær skole</t>
  </si>
  <si>
    <t>Vil kreve justering av ca. 1200 kvm ved Misvær skole</t>
  </si>
  <si>
    <t>Vil kreve  justering ca. 2000 kvm ved Misvær skole</t>
  </si>
  <si>
    <t>Ikke relevant</t>
  </si>
  <si>
    <t>Krever ingen tilpasning</t>
  </si>
  <si>
    <t>Mindre tilpasninger</t>
  </si>
  <si>
    <t xml:space="preserve">Vil være mulig å benytte arealene i nærliggende barnehager </t>
  </si>
  <si>
    <t>Vil være avhengig av private barnehager justerer opp sin kapasitet. Med mulighet for mindre justeringer av nærliggende kommunale barnehager</t>
  </si>
  <si>
    <t>Mulig behov for justering av ca 500 kvm.</t>
  </si>
  <si>
    <t>Mulig behov for justering av ca. 1500m2</t>
  </si>
  <si>
    <t>Vil måtte se på vesentlig oppgradering og vedlikehold av alle de eksisterende barnehagene (Stokkvika, Messiosen, Osphaugen). Ca 80 %</t>
  </si>
  <si>
    <t>Barnehagen legges ned og de øvrige private barnehagene forventes å kunne ta kapasiteten. Barnehagebygget kan så klargjøres for salg. Noe tilpasning i ny lokasjon</t>
  </si>
  <si>
    <t>Flytte barnehagedelen ved Skaug til andre barnehager i Rønviksonen</t>
  </si>
  <si>
    <t>Flytte barnehagedelen ved Skaug til andre barnehager i Rønviksonen. Noe areal må tilpasses i disse barnehagene</t>
  </si>
  <si>
    <t>Andre forhold</t>
  </si>
  <si>
    <t>Ingen antatte driftsbesparelser. Investeringen vil ikke betale seg tilbake</t>
  </si>
  <si>
    <t>Vil være besparelser i drift av eiendom, det er også vurdert å være en samlokaliseringsgevinsert ved å slå sammen skoler. Tomtepotensiale ved salg eller annen kommunal bruk</t>
  </si>
  <si>
    <t>Potensiale i å drifte en mindre skole noe mer øknomisk en dagens skole. Kan frigjøre 500 - 800 kvm til annet bruk</t>
  </si>
  <si>
    <t xml:space="preserve">Økning av driftskosntad ved Bankgata. Vil utnytte skolekapsiteten ved Bankgata ungdomsskole bedre. </t>
  </si>
  <si>
    <t>Unngår investering i utvidelse av Bodøsjøen skole</t>
  </si>
  <si>
    <t>Alternativet vil kreve vedlikehold av eksisterende arealer innen 5-10 års tid</t>
  </si>
  <si>
    <t>Lavere leiekostnader, samt potensielle samlokaliseringsgjevinster.</t>
  </si>
  <si>
    <t>Lavere leiekostnader</t>
  </si>
  <si>
    <t>Potensiale ift. administrative resursser og eiendomskostnader. Forutsetter framleie av lokalene</t>
  </si>
  <si>
    <t>Antatt besparelse på 12 millioner i driftsoptimalisering ved skolene. Eiendomskostnadene må dekkes uansett iløpet av neste vedlikeholdsperiode</t>
  </si>
  <si>
    <t>Redusert eiendomskostnader ved Skaug Oppvekstsenter, samt samlokaliseringsgjevinster ved øvrige skoler. Tomta frigjøres til annen aktivitet eller selges. Estimert verdi av tomta: 8 til 40 millioner</t>
  </si>
  <si>
    <t>Mulig samlokaliseringsgjevinster ved å flytte elever til øvrige skoler</t>
  </si>
  <si>
    <t>Mangler økonomidata for barnehage. Vil føre til behov for vesentlig oppgradering av Saltstraumen barenhage</t>
  </si>
  <si>
    <t>Driftsbesparelser ved felles administrasjon</t>
  </si>
  <si>
    <t>Driftsbesparelser ved samlokalisering. Tomtverdi ved salg av Saltstraumen bhg.</t>
  </si>
  <si>
    <t>Vesentlig vedlikeholdsbehov i årene fremmover</t>
  </si>
  <si>
    <t>Forutsette at budsjettet for tjenesten overføres til skolene</t>
  </si>
  <si>
    <t>Vil muligjøre annen bruk på en av lokasjonene, med muligheter for salg av eksisterende tomt og bygg. I dette tilfelelt estimert pris lagt inn for begge lokasjonene, men de slås sammen i summen til venstre</t>
  </si>
  <si>
    <t>Nedleggelse av Stokkvika barnehage vil frigjøre bygg og tomt for salg.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</si>
</sst>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/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8" fillId="0" borderId="0" xfId="0" applyFont="1"/>
    <xf numFmtId="0" fontId="0" fillId="0" borderId="1" xfId="0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1" fontId="10" fillId="6" borderId="1" xfId="1" applyNumberFormat="1" applyFont="1" applyFill="1" applyBorder="1" applyAlignment="1">
      <alignment horizontal="right" wrapText="1"/>
    </xf>
    <xf numFmtId="164" fontId="10" fillId="0" borderId="1" xfId="1" applyNumberFormat="1" applyFont="1" applyBorder="1" applyAlignment="1">
      <alignment wrapText="1"/>
    </xf>
    <xf numFmtId="0" fontId="10" fillId="7" borderId="1" xfId="0" applyFont="1" applyFill="1" applyBorder="1" applyAlignment="1">
      <alignment wrapText="1"/>
    </xf>
    <xf numFmtId="165" fontId="10" fillId="0" borderId="1" xfId="1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" fontId="11" fillId="0" borderId="1" xfId="0" quotePrefix="1" applyNumberFormat="1" applyFont="1" applyBorder="1"/>
    <xf numFmtId="0" fontId="9" fillId="9" borderId="1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10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0" fontId="9" fillId="14" borderId="1" xfId="0" applyFont="1" applyFill="1" applyBorder="1" applyAlignment="1">
      <alignment wrapText="1"/>
    </xf>
    <xf numFmtId="0" fontId="0" fillId="0" borderId="5" xfId="0" applyBorder="1"/>
    <xf numFmtId="0" fontId="0" fillId="0" borderId="1" xfId="0" applyBorder="1"/>
    <xf numFmtId="0" fontId="9" fillId="15" borderId="1" xfId="0" applyFont="1" applyFill="1" applyBorder="1" applyAlignment="1">
      <alignment wrapText="1"/>
    </xf>
    <xf numFmtId="0" fontId="9" fillId="16" borderId="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1" fontId="12" fillId="0" borderId="0" xfId="1" applyNumberFormat="1" applyFont="1" applyAlignment="1">
      <alignment horizontal="right" wrapText="1"/>
    </xf>
    <xf numFmtId="164" fontId="12" fillId="0" borderId="0" xfId="1" applyNumberFormat="1" applyFont="1"/>
    <xf numFmtId="164" fontId="7" fillId="0" borderId="10" xfId="1" applyNumberFormat="1" applyFont="1" applyBorder="1" applyAlignment="1">
      <alignment wrapText="1"/>
    </xf>
    <xf numFmtId="164" fontId="7" fillId="0" borderId="0" xfId="1" applyNumberFormat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/>
    <xf numFmtId="164" fontId="12" fillId="0" borderId="0" xfId="1" applyNumberFormat="1" applyFont="1" applyBorder="1"/>
    <xf numFmtId="165" fontId="6" fillId="0" borderId="7" xfId="1" applyNumberFormat="1" applyFont="1" applyBorder="1"/>
    <xf numFmtId="165" fontId="6" fillId="0" borderId="11" xfId="1" applyNumberFormat="1" applyFont="1" applyBorder="1"/>
    <xf numFmtId="165" fontId="6" fillId="0" borderId="0" xfId="1" applyNumberFormat="1" applyFont="1" applyBorder="1"/>
    <xf numFmtId="0" fontId="9" fillId="17" borderId="0" xfId="0" applyFont="1" applyFill="1" applyAlignment="1">
      <alignment wrapText="1"/>
    </xf>
    <xf numFmtId="16" fontId="11" fillId="0" borderId="12" xfId="0" quotePrefix="1" applyNumberFormat="1" applyFont="1" applyBorder="1" applyAlignment="1">
      <alignment wrapText="1"/>
    </xf>
    <xf numFmtId="0" fontId="9" fillId="18" borderId="0" xfId="0" applyFont="1" applyFill="1" applyAlignment="1">
      <alignment wrapText="1"/>
    </xf>
    <xf numFmtId="0" fontId="0" fillId="0" borderId="12" xfId="0" applyBorder="1"/>
    <xf numFmtId="16" fontId="11" fillId="0" borderId="0" xfId="0" quotePrefix="1" applyNumberFormat="1" applyFont="1" applyAlignment="1">
      <alignment wrapText="1"/>
    </xf>
    <xf numFmtId="0" fontId="9" fillId="5" borderId="0" xfId="0" applyFont="1" applyFill="1" applyAlignment="1">
      <alignment wrapText="1"/>
    </xf>
    <xf numFmtId="0" fontId="9" fillId="19" borderId="0" xfId="0" applyFont="1" applyFill="1" applyAlignment="1">
      <alignment wrapText="1"/>
    </xf>
    <xf numFmtId="0" fontId="6" fillId="0" borderId="0" xfId="0" applyFont="1"/>
    <xf numFmtId="0" fontId="13" fillId="0" borderId="0" xfId="0" applyFont="1"/>
    <xf numFmtId="164" fontId="12" fillId="0" borderId="0" xfId="1" quotePrefix="1" applyNumberFormat="1" applyFont="1"/>
    <xf numFmtId="164" fontId="7" fillId="0" borderId="13" xfId="1" applyNumberFormat="1" applyFont="1" applyBorder="1" applyAlignment="1">
      <alignment wrapText="1"/>
    </xf>
    <xf numFmtId="165" fontId="7" fillId="0" borderId="13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Barnehage-ogskolebehovsplanrevisjon/Delte%20dokumenter/General/Bh%20og%20skolebehovsplan%20kladd/Alternativsvurdering%20Skole%20og%20behovsplan%20arbeidsdokument%20etter%20m&#248;te%2013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krivelse"/>
      <sheetName val="Alt. Barnehagestruktur sent."/>
      <sheetName val="Vedlegg 1. Grunndata bhg"/>
      <sheetName val="Vedlegg 1. Grunnlagsdata skole"/>
      <sheetName val="Verdivurdering av Tomt og byggV"/>
      <sheetName val="7.5 Fremdrifsplan tiltak"/>
      <sheetName val="Vedlegg X. Alternativsmatrise"/>
      <sheetName val="7.4 Økonomiske konsekvenser (V)"/>
      <sheetName val="Alternativsvurderingsparametere"/>
      <sheetName val="Alternativsmatrise"/>
      <sheetName val="Ledig areal bhg"/>
      <sheetName val="bhg. og skole demo"/>
      <sheetName val="Grunndata bhg soner"/>
      <sheetName val="Ark1"/>
      <sheetName val="Tabell 1.1. Demo skole"/>
      <sheetName val="Tabell 1.2 TG, UU og KVM år "/>
      <sheetName val="Tabell 1.3 Kapasitet"/>
      <sheetName val="Tabell 1.4 ansatte pr. elev"/>
      <sheetName val="Norsk prisbok tall"/>
      <sheetName val="Økonomisk innsparing valgt alt"/>
    </sheetNames>
    <sheetDataSet>
      <sheetData sheetId="0"/>
      <sheetData sheetId="1"/>
      <sheetData sheetId="2">
        <row r="8">
          <cell r="X8">
            <v>500</v>
          </cell>
          <cell r="AI8">
            <v>711</v>
          </cell>
          <cell r="AL8">
            <v>866357</v>
          </cell>
          <cell r="AM8">
            <v>6488960</v>
          </cell>
        </row>
        <row r="10">
          <cell r="X10">
            <v>308</v>
          </cell>
          <cell r="AI10">
            <v>711</v>
          </cell>
          <cell r="AL10">
            <v>618208</v>
          </cell>
          <cell r="AM10">
            <v>8819774</v>
          </cell>
        </row>
        <row r="11">
          <cell r="X11">
            <v>278</v>
          </cell>
        </row>
        <row r="15">
          <cell r="X15"/>
        </row>
        <row r="16">
          <cell r="X16">
            <v>665</v>
          </cell>
        </row>
        <row r="17">
          <cell r="X17"/>
        </row>
        <row r="44">
          <cell r="Y44">
            <v>61</v>
          </cell>
          <cell r="AI44">
            <v>711</v>
          </cell>
          <cell r="AL44">
            <v>183560</v>
          </cell>
          <cell r="AM44">
            <v>3084477</v>
          </cell>
        </row>
        <row r="45">
          <cell r="X45">
            <v>1012</v>
          </cell>
          <cell r="AI45">
            <v>711</v>
          </cell>
          <cell r="AL45">
            <v>1247506</v>
          </cell>
          <cell r="AM45">
            <v>11590521</v>
          </cell>
        </row>
        <row r="48">
          <cell r="X48">
            <v>637</v>
          </cell>
        </row>
        <row r="54">
          <cell r="W54">
            <v>245</v>
          </cell>
          <cell r="AI54">
            <v>711</v>
          </cell>
          <cell r="AL54">
            <v>478118</v>
          </cell>
          <cell r="AM54">
            <v>7827874</v>
          </cell>
        </row>
        <row r="56">
          <cell r="X56"/>
        </row>
      </sheetData>
      <sheetData sheetId="3">
        <row r="8">
          <cell r="AH8">
            <v>2859</v>
          </cell>
          <cell r="AN8">
            <v>719</v>
          </cell>
          <cell r="AR8">
            <v>761354</v>
          </cell>
          <cell r="AS8">
            <v>14746154</v>
          </cell>
        </row>
        <row r="11">
          <cell r="AN11">
            <v>654</v>
          </cell>
          <cell r="AR11">
            <v>1277003</v>
          </cell>
          <cell r="AS11">
            <v>29647451</v>
          </cell>
        </row>
        <row r="20">
          <cell r="AH20">
            <v>1886</v>
          </cell>
          <cell r="AN20">
            <v>638</v>
          </cell>
          <cell r="AR20">
            <v>569752</v>
          </cell>
          <cell r="AS20">
            <v>12988566</v>
          </cell>
        </row>
        <row r="21">
          <cell r="AH21">
            <v>6479</v>
          </cell>
          <cell r="AN21">
            <v>719</v>
          </cell>
          <cell r="AR21">
            <v>1631891</v>
          </cell>
          <cell r="AS21">
            <v>36554384</v>
          </cell>
        </row>
        <row r="22">
          <cell r="AH22">
            <v>12619</v>
          </cell>
          <cell r="AN22">
            <v>719</v>
          </cell>
          <cell r="AR22">
            <v>2806431</v>
          </cell>
          <cell r="AS22">
            <v>65109428</v>
          </cell>
        </row>
        <row r="23">
          <cell r="AH23">
            <v>9606</v>
          </cell>
          <cell r="AN23">
            <v>719</v>
          </cell>
          <cell r="AR23">
            <v>1030947</v>
          </cell>
          <cell r="AS23">
            <v>24646792</v>
          </cell>
        </row>
        <row r="25">
          <cell r="AH25">
            <v>3330</v>
          </cell>
          <cell r="AN25">
            <v>669</v>
          </cell>
          <cell r="AR25">
            <v>1730774</v>
          </cell>
          <cell r="AS25">
            <v>27652281</v>
          </cell>
        </row>
        <row r="28">
          <cell r="AO28">
            <v>559000</v>
          </cell>
          <cell r="AR28">
            <v>1659977</v>
          </cell>
          <cell r="AS28">
            <v>8035398</v>
          </cell>
        </row>
        <row r="29">
          <cell r="AH29">
            <v>1200</v>
          </cell>
          <cell r="AN29">
            <v>638</v>
          </cell>
          <cell r="AR29">
            <v>1193050</v>
          </cell>
          <cell r="AS29">
            <v>8285427</v>
          </cell>
        </row>
        <row r="30">
          <cell r="AH30">
            <v>4814</v>
          </cell>
          <cell r="AN30">
            <v>719</v>
          </cell>
          <cell r="AR30">
            <v>594725</v>
          </cell>
          <cell r="AS30">
            <v>9769240</v>
          </cell>
        </row>
      </sheetData>
      <sheetData sheetId="4">
        <row r="39">
          <cell r="E39">
            <v>10150000</v>
          </cell>
          <cell r="F39">
            <v>1911000</v>
          </cell>
        </row>
        <row r="40">
          <cell r="E40">
            <v>10500000</v>
          </cell>
          <cell r="F40">
            <v>9990000</v>
          </cell>
        </row>
        <row r="41">
          <cell r="E41">
            <v>9800000</v>
          </cell>
          <cell r="F41">
            <v>5658000</v>
          </cell>
        </row>
        <row r="42">
          <cell r="E42">
            <v>1540000</v>
          </cell>
          <cell r="F42">
            <v>924000</v>
          </cell>
        </row>
        <row r="43">
          <cell r="E43">
            <v>2030000</v>
          </cell>
          <cell r="F43">
            <v>834000</v>
          </cell>
        </row>
        <row r="44">
          <cell r="E44">
            <v>10500000</v>
          </cell>
          <cell r="F44">
            <v>14442000</v>
          </cell>
        </row>
        <row r="45">
          <cell r="E45">
            <v>0</v>
          </cell>
          <cell r="F45">
            <v>840000</v>
          </cell>
        </row>
      </sheetData>
      <sheetData sheetId="5"/>
      <sheetData sheetId="6">
        <row r="5">
          <cell r="H5">
            <v>2</v>
          </cell>
          <cell r="K5">
            <v>0</v>
          </cell>
        </row>
        <row r="6">
          <cell r="H6">
            <v>0</v>
          </cell>
          <cell r="K6">
            <v>0</v>
          </cell>
        </row>
        <row r="7">
          <cell r="H7">
            <v>0</v>
          </cell>
          <cell r="K7">
            <v>1</v>
          </cell>
        </row>
        <row r="8">
          <cell r="H8">
            <v>1</v>
          </cell>
          <cell r="K8">
            <v>0</v>
          </cell>
        </row>
        <row r="9">
          <cell r="H9">
            <v>2</v>
          </cell>
          <cell r="K9">
            <v>0</v>
          </cell>
        </row>
        <row r="10">
          <cell r="H10">
            <v>2</v>
          </cell>
          <cell r="K10">
            <v>2</v>
          </cell>
        </row>
        <row r="11">
          <cell r="H11">
            <v>1</v>
          </cell>
          <cell r="K11">
            <v>1</v>
          </cell>
        </row>
        <row r="12">
          <cell r="H12">
            <v>1</v>
          </cell>
          <cell r="K12">
            <v>1</v>
          </cell>
        </row>
        <row r="13">
          <cell r="H13">
            <v>3</v>
          </cell>
          <cell r="K13">
            <v>0</v>
          </cell>
        </row>
        <row r="14">
          <cell r="H14">
            <v>2</v>
          </cell>
          <cell r="K14">
            <v>0</v>
          </cell>
        </row>
        <row r="15">
          <cell r="H15">
            <v>0</v>
          </cell>
          <cell r="K15">
            <v>0</v>
          </cell>
        </row>
        <row r="16">
          <cell r="H16">
            <v>2</v>
          </cell>
          <cell r="K16">
            <v>0</v>
          </cell>
        </row>
        <row r="17">
          <cell r="H17">
            <v>1</v>
          </cell>
          <cell r="K17">
            <v>0</v>
          </cell>
        </row>
        <row r="18">
          <cell r="H18">
            <v>1</v>
          </cell>
          <cell r="K18">
            <v>2</v>
          </cell>
        </row>
        <row r="19">
          <cell r="H19">
            <v>2</v>
          </cell>
          <cell r="K19">
            <v>0</v>
          </cell>
        </row>
        <row r="20">
          <cell r="H20">
            <v>2</v>
          </cell>
          <cell r="K20">
            <v>2</v>
          </cell>
        </row>
        <row r="21">
          <cell r="H21">
            <v>2</v>
          </cell>
          <cell r="K21">
            <v>0</v>
          </cell>
        </row>
        <row r="22">
          <cell r="H22">
            <v>2</v>
          </cell>
          <cell r="K22">
            <v>1</v>
          </cell>
        </row>
        <row r="23">
          <cell r="H23">
            <v>1</v>
          </cell>
          <cell r="K23">
            <v>0</v>
          </cell>
        </row>
        <row r="24">
          <cell r="H24">
            <v>2</v>
          </cell>
          <cell r="K24">
            <v>3</v>
          </cell>
        </row>
        <row r="25">
          <cell r="H25">
            <v>2</v>
          </cell>
          <cell r="K25">
            <v>2</v>
          </cell>
        </row>
        <row r="26">
          <cell r="H26">
            <v>1</v>
          </cell>
          <cell r="K26">
            <v>0</v>
          </cell>
        </row>
        <row r="27">
          <cell r="H27">
            <v>2</v>
          </cell>
          <cell r="K27">
            <v>1</v>
          </cell>
        </row>
        <row r="28">
          <cell r="H28">
            <v>2</v>
          </cell>
          <cell r="K28">
            <v>2</v>
          </cell>
        </row>
        <row r="29">
          <cell r="H29">
            <v>1</v>
          </cell>
          <cell r="K29">
            <v>0</v>
          </cell>
        </row>
        <row r="30">
          <cell r="H30">
            <v>3</v>
          </cell>
          <cell r="K30">
            <v>3</v>
          </cell>
        </row>
        <row r="31">
          <cell r="H31">
            <v>2</v>
          </cell>
          <cell r="K31">
            <v>0</v>
          </cell>
        </row>
        <row r="32">
          <cell r="H32">
            <v>2</v>
          </cell>
          <cell r="K32">
            <v>1</v>
          </cell>
        </row>
        <row r="33">
          <cell r="H33">
            <v>2</v>
          </cell>
          <cell r="K33">
            <v>3</v>
          </cell>
        </row>
        <row r="34">
          <cell r="H34">
            <v>2</v>
          </cell>
          <cell r="K34">
            <v>2</v>
          </cell>
        </row>
        <row r="36">
          <cell r="H36">
            <v>2</v>
          </cell>
          <cell r="K36">
            <v>0</v>
          </cell>
        </row>
        <row r="37">
          <cell r="H37">
            <v>1</v>
          </cell>
          <cell r="K37">
            <v>1</v>
          </cell>
        </row>
        <row r="38">
          <cell r="H38">
            <v>1</v>
          </cell>
          <cell r="K38">
            <v>0</v>
          </cell>
        </row>
        <row r="39">
          <cell r="H39">
            <v>2</v>
          </cell>
          <cell r="K39">
            <v>3</v>
          </cell>
        </row>
        <row r="40">
          <cell r="H40">
            <v>3</v>
          </cell>
          <cell r="K40">
            <v>3</v>
          </cell>
        </row>
        <row r="41">
          <cell r="H41">
            <v>1</v>
          </cell>
          <cell r="K41">
            <v>0</v>
          </cell>
        </row>
        <row r="42">
          <cell r="H42">
            <v>2</v>
          </cell>
          <cell r="K42">
            <v>1</v>
          </cell>
        </row>
        <row r="43">
          <cell r="H43">
            <v>3</v>
          </cell>
          <cell r="K43">
            <v>2</v>
          </cell>
        </row>
        <row r="44">
          <cell r="H44">
            <v>1</v>
          </cell>
          <cell r="K44">
            <v>0</v>
          </cell>
        </row>
        <row r="45">
          <cell r="H45">
            <v>3</v>
          </cell>
          <cell r="K45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9A6D-F3D5-42D7-8602-04E2D6F57154}">
  <dimension ref="A2:V78"/>
  <sheetViews>
    <sheetView tabSelected="1" topLeftCell="I1" zoomScale="40" zoomScaleNormal="40" workbookViewId="0">
      <selection activeCell="V37" sqref="V37"/>
    </sheetView>
  </sheetViews>
  <sheetFormatPr baseColWidth="10" defaultColWidth="8.88671875" defaultRowHeight="25.8" x14ac:dyDescent="0.5"/>
  <cols>
    <col min="1" max="1" width="21.6640625" customWidth="1"/>
    <col min="2" max="2" width="29.109375" style="1" customWidth="1"/>
    <col min="3" max="3" width="27.44140625" customWidth="1"/>
    <col min="4" max="4" width="127.33203125" style="2" customWidth="1"/>
    <col min="5" max="5" width="26.88671875" style="47" customWidth="1"/>
    <col min="6" max="6" width="89" style="47" customWidth="1"/>
    <col min="7" max="7" width="11.109375" style="48" customWidth="1"/>
    <col min="8" max="8" width="81.33203125" style="48" customWidth="1"/>
    <col min="9" max="9" width="10.33203125" style="48" customWidth="1"/>
    <col min="10" max="10" width="38" style="54" customWidth="1"/>
    <col min="11" max="12" width="14.44140625" style="54" bestFit="1" customWidth="1"/>
    <col min="13" max="13" width="30.33203125" style="66" customWidth="1"/>
    <col min="14" max="14" width="33" style="66" customWidth="1"/>
    <col min="15" max="15" width="47.44140625" style="54" customWidth="1"/>
    <col min="16" max="16" width="54.88671875" style="54" customWidth="1"/>
    <col min="17" max="17" width="35.109375" style="54" customWidth="1"/>
    <col min="18" max="19" width="15.109375" style="54" bestFit="1" customWidth="1"/>
    <col min="20" max="20" width="23" style="54" bestFit="1" customWidth="1"/>
    <col min="21" max="21" width="25.5546875" style="54" bestFit="1" customWidth="1"/>
    <col min="22" max="22" width="128.44140625" style="54" customWidth="1"/>
  </cols>
  <sheetData>
    <row r="2" spans="1:22" ht="46.2" x14ac:dyDescent="0.35">
      <c r="E2" s="3"/>
      <c r="F2" s="72" t="s">
        <v>0</v>
      </c>
      <c r="G2" s="72"/>
      <c r="H2" s="72"/>
      <c r="I2" s="72"/>
      <c r="J2" s="72"/>
      <c r="K2" s="72"/>
      <c r="L2" s="72"/>
      <c r="M2" s="72"/>
      <c r="N2" s="72"/>
      <c r="O2" s="73" t="s">
        <v>1</v>
      </c>
      <c r="P2" s="73"/>
      <c r="Q2" s="73"/>
      <c r="R2" s="73"/>
      <c r="S2" s="73"/>
      <c r="T2" s="74" t="s">
        <v>2</v>
      </c>
      <c r="U2" s="75"/>
      <c r="V2" s="4" t="s">
        <v>161</v>
      </c>
    </row>
    <row r="3" spans="1:22" ht="51.6" x14ac:dyDescent="0.3">
      <c r="E3" s="5" t="s">
        <v>3</v>
      </c>
      <c r="F3" s="6" t="s">
        <v>4</v>
      </c>
      <c r="G3" s="6"/>
      <c r="H3" s="6"/>
      <c r="I3" s="6"/>
      <c r="J3" s="6" t="s">
        <v>5</v>
      </c>
      <c r="K3" s="76" t="s">
        <v>6</v>
      </c>
      <c r="L3" s="76"/>
      <c r="M3" s="76" t="s">
        <v>7</v>
      </c>
      <c r="N3" s="76"/>
      <c r="O3" s="7" t="s">
        <v>8</v>
      </c>
      <c r="P3" s="7" t="s">
        <v>9</v>
      </c>
      <c r="Q3" s="7" t="s">
        <v>10</v>
      </c>
      <c r="R3" s="77" t="s">
        <v>11</v>
      </c>
      <c r="S3" s="77"/>
      <c r="T3" s="8" t="s">
        <v>12</v>
      </c>
      <c r="U3" s="8" t="s">
        <v>13</v>
      </c>
      <c r="V3" s="9"/>
    </row>
    <row r="4" spans="1:22" s="15" customFormat="1" ht="115.8" thickBot="1" x14ac:dyDescent="0.6">
      <c r="A4" s="10" t="s">
        <v>14</v>
      </c>
      <c r="B4" s="11" t="s">
        <v>15</v>
      </c>
      <c r="C4" s="12"/>
      <c r="D4" s="10" t="s">
        <v>16</v>
      </c>
      <c r="E4" s="10" t="s">
        <v>17</v>
      </c>
      <c r="F4" s="10" t="s">
        <v>110</v>
      </c>
      <c r="G4" s="10" t="s">
        <v>19</v>
      </c>
      <c r="H4" s="10" t="s">
        <v>111</v>
      </c>
      <c r="I4" s="10" t="s">
        <v>21</v>
      </c>
      <c r="J4" s="13" t="s">
        <v>22</v>
      </c>
      <c r="K4" s="10" t="s">
        <v>19</v>
      </c>
      <c r="L4" s="10" t="s">
        <v>21</v>
      </c>
      <c r="M4" s="10" t="s">
        <v>23</v>
      </c>
      <c r="N4" s="10" t="s">
        <v>21</v>
      </c>
      <c r="O4" s="10" t="s">
        <v>24</v>
      </c>
      <c r="P4" s="14" t="s">
        <v>25</v>
      </c>
      <c r="Q4" s="10"/>
      <c r="R4" s="10" t="s">
        <v>19</v>
      </c>
      <c r="S4" s="10" t="s">
        <v>21</v>
      </c>
      <c r="T4" s="10"/>
      <c r="U4" s="10"/>
      <c r="V4" s="10" t="s">
        <v>26</v>
      </c>
    </row>
    <row r="5" spans="1:22" s="23" customFormat="1" ht="21" x14ac:dyDescent="0.4">
      <c r="A5" s="16"/>
      <c r="B5" s="17" t="s">
        <v>27</v>
      </c>
      <c r="C5" s="18" t="s">
        <v>28</v>
      </c>
      <c r="D5" s="18" t="s">
        <v>29</v>
      </c>
      <c r="E5" s="18">
        <f>'[1]Vedlegg 1. Grunnlagsdata skole'!$AH$25</f>
        <v>3330</v>
      </c>
      <c r="F5" s="18" t="s">
        <v>112</v>
      </c>
      <c r="G5" s="18">
        <f>E5</f>
        <v>3330</v>
      </c>
      <c r="H5" s="18" t="s">
        <v>112</v>
      </c>
      <c r="I5" s="18">
        <v>3330</v>
      </c>
      <c r="J5" s="19">
        <f>'[1]Vedlegg X. Alternativsmatrise'!H5</f>
        <v>2</v>
      </c>
      <c r="K5" s="20">
        <v>5000</v>
      </c>
      <c r="L5" s="20">
        <v>15000</v>
      </c>
      <c r="M5" s="20">
        <f t="shared" ref="M5:M12" si="0">G5*K5</f>
        <v>16650000</v>
      </c>
      <c r="N5" s="20">
        <f t="shared" ref="N5:N12" si="1">L5*I5</f>
        <v>49950000</v>
      </c>
      <c r="O5" s="20">
        <f>'[1]Vedlegg 1. Grunnlagsdata skole'!$AR$25+'[1]Vedlegg 1. Grunnlagsdata skole'!$AS$25+'[1]Vedlegg 1. Grunnlagsdata skole'!$AN$25*$E$5</f>
        <v>31610825</v>
      </c>
      <c r="P5" s="21">
        <f>'[1]Vedlegg X. Alternativsmatrise'!K5</f>
        <v>0</v>
      </c>
      <c r="Q5" s="18">
        <f t="shared" ref="Q5:Q6" si="2">O5*(P5*0.1)</f>
        <v>0</v>
      </c>
      <c r="R5" s="22"/>
      <c r="S5" s="22"/>
      <c r="T5" s="22"/>
      <c r="U5" s="22"/>
      <c r="V5" s="18" t="s">
        <v>162</v>
      </c>
    </row>
    <row r="6" spans="1:22" s="27" customFormat="1" ht="36" x14ac:dyDescent="0.4">
      <c r="A6" s="16"/>
      <c r="B6" s="17" t="s">
        <v>27</v>
      </c>
      <c r="C6" s="18" t="s">
        <v>30</v>
      </c>
      <c r="D6" s="18" t="s">
        <v>86</v>
      </c>
      <c r="E6" s="18">
        <f t="shared" ref="E6:E12" si="3">E5</f>
        <v>3330</v>
      </c>
      <c r="F6" s="24" t="s">
        <v>31</v>
      </c>
      <c r="G6" s="18">
        <f>3330*0.8</f>
        <v>2664</v>
      </c>
      <c r="H6" s="25" t="s">
        <v>113</v>
      </c>
      <c r="I6" s="18">
        <v>5000</v>
      </c>
      <c r="J6" s="19">
        <f>'[1]Vedlegg X. Alternativsmatrise'!H6</f>
        <v>0</v>
      </c>
      <c r="K6" s="20">
        <v>30000</v>
      </c>
      <c r="L6" s="20">
        <v>50000</v>
      </c>
      <c r="M6" s="20">
        <f t="shared" si="0"/>
        <v>79920000</v>
      </c>
      <c r="N6" s="20">
        <f t="shared" si="1"/>
        <v>250000000</v>
      </c>
      <c r="O6" s="26">
        <f>$O$5</f>
        <v>31610825</v>
      </c>
      <c r="P6" s="21">
        <f>'[1]Vedlegg X. Alternativsmatrise'!K6</f>
        <v>0</v>
      </c>
      <c r="Q6" s="18">
        <f t="shared" si="2"/>
        <v>0</v>
      </c>
      <c r="R6" s="22"/>
      <c r="S6" s="22"/>
      <c r="T6" s="22"/>
      <c r="U6" s="22"/>
      <c r="V6" s="18" t="s">
        <v>162</v>
      </c>
    </row>
    <row r="7" spans="1:22" s="27" customFormat="1" ht="36" x14ac:dyDescent="0.4">
      <c r="A7" s="16"/>
      <c r="B7" s="17" t="s">
        <v>27</v>
      </c>
      <c r="C7" s="18" t="s">
        <v>32</v>
      </c>
      <c r="D7" s="18" t="s">
        <v>33</v>
      </c>
      <c r="E7" s="18">
        <f t="shared" si="3"/>
        <v>3330</v>
      </c>
      <c r="F7" s="24" t="s">
        <v>34</v>
      </c>
      <c r="G7" s="18">
        <f>E7</f>
        <v>3330</v>
      </c>
      <c r="H7" s="25" t="s">
        <v>113</v>
      </c>
      <c r="I7" s="18">
        <v>5000</v>
      </c>
      <c r="J7" s="19">
        <f>'[1]Vedlegg X. Alternativsmatrise'!H7</f>
        <v>0</v>
      </c>
      <c r="K7" s="20">
        <v>30000</v>
      </c>
      <c r="L7" s="20">
        <v>50000</v>
      </c>
      <c r="M7" s="20">
        <f t="shared" si="0"/>
        <v>99900000</v>
      </c>
      <c r="N7" s="20">
        <f t="shared" si="1"/>
        <v>250000000</v>
      </c>
      <c r="O7" s="26">
        <f t="shared" ref="O7:O12" si="4">$O$5</f>
        <v>31610825</v>
      </c>
      <c r="P7" s="21">
        <f>'[1]Vedlegg X. Alternativsmatrise'!K7</f>
        <v>1</v>
      </c>
      <c r="Q7" s="26">
        <f>O7*(P7*0.1)</f>
        <v>3161082.5</v>
      </c>
      <c r="R7" s="22">
        <f>M7/Q7</f>
        <v>31.603097989375474</v>
      </c>
      <c r="S7" s="22">
        <f>N7/Q7</f>
        <v>79.086831805243932</v>
      </c>
      <c r="T7" s="22"/>
      <c r="U7" s="22"/>
      <c r="V7" s="18" t="s">
        <v>35</v>
      </c>
    </row>
    <row r="8" spans="1:22" s="27" customFormat="1" ht="21" x14ac:dyDescent="0.4">
      <c r="A8" s="16"/>
      <c r="B8" s="17" t="s">
        <v>27</v>
      </c>
      <c r="C8" s="18" t="s">
        <v>36</v>
      </c>
      <c r="D8" s="18" t="s">
        <v>37</v>
      </c>
      <c r="E8" s="18">
        <f t="shared" si="3"/>
        <v>3330</v>
      </c>
      <c r="F8" s="24" t="s">
        <v>31</v>
      </c>
      <c r="G8" s="18">
        <f>E8</f>
        <v>3330</v>
      </c>
      <c r="H8" s="25" t="s">
        <v>38</v>
      </c>
      <c r="I8" s="18">
        <f>E8*1.2</f>
        <v>3996</v>
      </c>
      <c r="J8" s="19">
        <f>'[1]Vedlegg X. Alternativsmatrise'!H8</f>
        <v>1</v>
      </c>
      <c r="K8" s="20">
        <v>15000</v>
      </c>
      <c r="L8" s="20">
        <v>30000</v>
      </c>
      <c r="M8" s="20">
        <f t="shared" si="0"/>
        <v>49950000</v>
      </c>
      <c r="N8" s="20">
        <f t="shared" si="1"/>
        <v>119880000</v>
      </c>
      <c r="O8" s="26">
        <f t="shared" si="4"/>
        <v>31610825</v>
      </c>
      <c r="P8" s="21">
        <f>'[1]Vedlegg X. Alternativsmatrise'!K8</f>
        <v>0</v>
      </c>
      <c r="Q8" s="26">
        <f t="shared" ref="Q8:Q14" si="5">O8*(P8*0.1)</f>
        <v>0</v>
      </c>
      <c r="R8" s="22"/>
      <c r="S8" s="22"/>
      <c r="T8" s="22"/>
      <c r="U8" s="22"/>
      <c r="V8" s="18" t="s">
        <v>162</v>
      </c>
    </row>
    <row r="9" spans="1:22" s="27" customFormat="1" ht="21" x14ac:dyDescent="0.4">
      <c r="A9" s="16"/>
      <c r="B9" s="17" t="s">
        <v>27</v>
      </c>
      <c r="C9" s="18" t="s">
        <v>39</v>
      </c>
      <c r="D9" s="18" t="s">
        <v>40</v>
      </c>
      <c r="E9" s="18">
        <f t="shared" si="3"/>
        <v>3330</v>
      </c>
      <c r="F9" s="24" t="s">
        <v>17</v>
      </c>
      <c r="G9" s="18">
        <f>E9</f>
        <v>3330</v>
      </c>
      <c r="H9" s="25" t="s">
        <v>17</v>
      </c>
      <c r="I9" s="18">
        <f>E9*1</f>
        <v>3330</v>
      </c>
      <c r="J9" s="19">
        <f>'[1]Vedlegg X. Alternativsmatrise'!H9</f>
        <v>2</v>
      </c>
      <c r="K9" s="20">
        <v>5000</v>
      </c>
      <c r="L9" s="20">
        <v>15000</v>
      </c>
      <c r="M9" s="20">
        <f t="shared" si="0"/>
        <v>16650000</v>
      </c>
      <c r="N9" s="20">
        <f t="shared" si="1"/>
        <v>49950000</v>
      </c>
      <c r="O9" s="26">
        <f t="shared" si="4"/>
        <v>31610825</v>
      </c>
      <c r="P9" s="21">
        <f>'[1]Vedlegg X. Alternativsmatrise'!K9</f>
        <v>0</v>
      </c>
      <c r="Q9" s="26">
        <f t="shared" si="5"/>
        <v>0</v>
      </c>
      <c r="R9" s="22"/>
      <c r="S9" s="22"/>
      <c r="T9" s="22"/>
      <c r="U9" s="22"/>
      <c r="V9" s="18" t="s">
        <v>162</v>
      </c>
    </row>
    <row r="10" spans="1:22" s="27" customFormat="1" ht="39" x14ac:dyDescent="0.6">
      <c r="A10" s="28" t="s">
        <v>41</v>
      </c>
      <c r="B10" s="17" t="s">
        <v>27</v>
      </c>
      <c r="C10" s="18" t="s">
        <v>42</v>
      </c>
      <c r="D10" s="18" t="s">
        <v>96</v>
      </c>
      <c r="E10" s="18">
        <f t="shared" si="3"/>
        <v>3330</v>
      </c>
      <c r="F10" s="18" t="s">
        <v>43</v>
      </c>
      <c r="G10" s="18">
        <v>3330</v>
      </c>
      <c r="H10" s="18" t="s">
        <v>114</v>
      </c>
      <c r="I10" s="18">
        <f>E10*1.2</f>
        <v>3996</v>
      </c>
      <c r="J10" s="19">
        <f>'[1]Vedlegg X. Alternativsmatrise'!H10</f>
        <v>2</v>
      </c>
      <c r="K10" s="20">
        <v>5000</v>
      </c>
      <c r="L10" s="20">
        <v>15000</v>
      </c>
      <c r="M10" s="20">
        <f t="shared" si="0"/>
        <v>16650000</v>
      </c>
      <c r="N10" s="20">
        <f t="shared" si="1"/>
        <v>59940000</v>
      </c>
      <c r="O10" s="26">
        <f>$O$5</f>
        <v>31610825</v>
      </c>
      <c r="P10" s="21">
        <f>'[1]Vedlegg X. Alternativsmatrise'!K10</f>
        <v>2</v>
      </c>
      <c r="Q10" s="26">
        <f t="shared" si="5"/>
        <v>6322165</v>
      </c>
      <c r="R10" s="22">
        <f>M10/Q10</f>
        <v>2.633591499114623</v>
      </c>
      <c r="S10" s="22">
        <f>N10/Q10</f>
        <v>9.4809293968126429</v>
      </c>
      <c r="T10" s="20">
        <f>'[1]Verdivurdering av Tomt og byggV'!F40</f>
        <v>9990000</v>
      </c>
      <c r="U10" s="20">
        <f>'[1]Verdivurdering av Tomt og byggV'!E40</f>
        <v>10500000</v>
      </c>
      <c r="V10" s="18" t="s">
        <v>163</v>
      </c>
    </row>
    <row r="11" spans="1:22" s="27" customFormat="1" ht="21" x14ac:dyDescent="0.4">
      <c r="A11" s="16"/>
      <c r="B11" s="17" t="s">
        <v>27</v>
      </c>
      <c r="C11" s="18" t="s">
        <v>44</v>
      </c>
      <c r="D11" s="18" t="s">
        <v>97</v>
      </c>
      <c r="E11" s="18">
        <f t="shared" si="3"/>
        <v>3330</v>
      </c>
      <c r="F11" s="18" t="s">
        <v>115</v>
      </c>
      <c r="G11" s="18">
        <f>3330*0.5</f>
        <v>1665</v>
      </c>
      <c r="H11" s="18" t="s">
        <v>116</v>
      </c>
      <c r="I11" s="18">
        <f>E11*0.7</f>
        <v>2331</v>
      </c>
      <c r="J11" s="19">
        <f>'[1]Vedlegg X. Alternativsmatrise'!H11</f>
        <v>1</v>
      </c>
      <c r="K11" s="20">
        <v>15000</v>
      </c>
      <c r="L11" s="20">
        <v>30000</v>
      </c>
      <c r="M11" s="20">
        <f t="shared" si="0"/>
        <v>24975000</v>
      </c>
      <c r="N11" s="20">
        <f t="shared" si="1"/>
        <v>69930000</v>
      </c>
      <c r="O11" s="26">
        <f t="shared" si="4"/>
        <v>31610825</v>
      </c>
      <c r="P11" s="21">
        <f>'[1]Vedlegg X. Alternativsmatrise'!K11</f>
        <v>1</v>
      </c>
      <c r="Q11" s="26">
        <f t="shared" si="5"/>
        <v>3161082.5</v>
      </c>
      <c r="R11" s="22">
        <f>M11/Q11</f>
        <v>7.9007744973438685</v>
      </c>
      <c r="S11" s="22">
        <f>N11/Q11</f>
        <v>22.122168592562833</v>
      </c>
      <c r="T11" s="22"/>
      <c r="U11" s="22"/>
      <c r="V11" s="25" t="s">
        <v>164</v>
      </c>
    </row>
    <row r="12" spans="1:22" s="27" customFormat="1" ht="37.200000000000003" thickBot="1" x14ac:dyDescent="0.45">
      <c r="A12" s="16"/>
      <c r="B12" s="17" t="s">
        <v>27</v>
      </c>
      <c r="C12" s="18" t="s">
        <v>45</v>
      </c>
      <c r="D12" s="18" t="s">
        <v>46</v>
      </c>
      <c r="E12" s="18">
        <f t="shared" si="3"/>
        <v>3330</v>
      </c>
      <c r="F12" s="18" t="s">
        <v>117</v>
      </c>
      <c r="G12" s="18">
        <f>E12*0.5</f>
        <v>1665</v>
      </c>
      <c r="H12" s="18" t="s">
        <v>118</v>
      </c>
      <c r="I12" s="18">
        <f>E12*0.7</f>
        <v>2331</v>
      </c>
      <c r="J12" s="19">
        <f>'[1]Vedlegg X. Alternativsmatrise'!H12</f>
        <v>1</v>
      </c>
      <c r="K12" s="20">
        <v>15000</v>
      </c>
      <c r="L12" s="20">
        <v>30000</v>
      </c>
      <c r="M12" s="20">
        <f t="shared" si="0"/>
        <v>24975000</v>
      </c>
      <c r="N12" s="20">
        <f t="shared" si="1"/>
        <v>69930000</v>
      </c>
      <c r="O12" s="26">
        <f t="shared" si="4"/>
        <v>31610825</v>
      </c>
      <c r="P12" s="21">
        <f>'[1]Vedlegg X. Alternativsmatrise'!K12</f>
        <v>1</v>
      </c>
      <c r="Q12" s="26">
        <f t="shared" si="5"/>
        <v>3161082.5</v>
      </c>
      <c r="R12" s="22">
        <f>M12/Q12</f>
        <v>7.9007744973438685</v>
      </c>
      <c r="S12" s="22">
        <f>N12/Q12</f>
        <v>22.122168592562833</v>
      </c>
      <c r="T12" s="22"/>
      <c r="U12" s="22"/>
      <c r="V12" s="25" t="s">
        <v>164</v>
      </c>
    </row>
    <row r="13" spans="1:22" s="30" customFormat="1" ht="21" x14ac:dyDescent="0.4">
      <c r="A13" s="16"/>
      <c r="B13" s="29" t="s">
        <v>27</v>
      </c>
      <c r="C13" s="18" t="s">
        <v>28</v>
      </c>
      <c r="D13" s="18" t="s">
        <v>87</v>
      </c>
      <c r="E13" s="18"/>
      <c r="F13" s="25" t="s">
        <v>119</v>
      </c>
      <c r="G13" s="18"/>
      <c r="H13" s="18"/>
      <c r="I13" s="18"/>
      <c r="J13" s="19">
        <f>'[1]Vedlegg X. Alternativsmatrise'!H13</f>
        <v>3</v>
      </c>
      <c r="K13" s="20"/>
      <c r="L13" s="20"/>
      <c r="M13" s="18"/>
      <c r="N13" s="18"/>
      <c r="O13" s="20">
        <f>'[1]Vedlegg 1. Grunnlagsdata skole'!$AS$23+'[1]Vedlegg 1. Grunnlagsdata skole'!$AR$23+'[1]Vedlegg 1. Grunnlagsdata skole'!$AN$23*'[1]Vedlegg 1. Grunnlagsdata skole'!$AH$23</f>
        <v>32584453</v>
      </c>
      <c r="P13" s="21">
        <f>'[1]Vedlegg X. Alternativsmatrise'!K13</f>
        <v>0</v>
      </c>
      <c r="Q13" s="18">
        <f t="shared" si="5"/>
        <v>0</v>
      </c>
      <c r="R13" s="18"/>
      <c r="S13" s="18"/>
      <c r="T13" s="18"/>
      <c r="U13" s="18"/>
      <c r="V13" s="18" t="s">
        <v>47</v>
      </c>
    </row>
    <row r="14" spans="1:22" s="27" customFormat="1" ht="31.8" thickBot="1" x14ac:dyDescent="0.65">
      <c r="A14" s="28" t="s">
        <v>41</v>
      </c>
      <c r="B14" s="29" t="s">
        <v>27</v>
      </c>
      <c r="C14" s="18" t="s">
        <v>30</v>
      </c>
      <c r="D14" s="18" t="s">
        <v>98</v>
      </c>
      <c r="E14" s="18">
        <v>500</v>
      </c>
      <c r="F14" s="18" t="s">
        <v>120</v>
      </c>
      <c r="G14" s="18">
        <v>0</v>
      </c>
      <c r="H14" s="18" t="s">
        <v>121</v>
      </c>
      <c r="I14" s="18">
        <v>500</v>
      </c>
      <c r="J14" s="19">
        <f>'[1]Vedlegg X. Alternativsmatrise'!H14</f>
        <v>2</v>
      </c>
      <c r="K14" s="20">
        <v>5000</v>
      </c>
      <c r="L14" s="20">
        <v>15000</v>
      </c>
      <c r="M14" s="20">
        <f>G14*K14</f>
        <v>0</v>
      </c>
      <c r="N14" s="20">
        <f>L14*I14</f>
        <v>7500000</v>
      </c>
      <c r="O14" s="26">
        <f>('[1]Vedlegg 1. Grunnlagsdata skole'!$AR$11+'[1]Vedlegg 1. Grunnlagsdata skole'!$AS$11+'[1]Vedlegg 1. Grunnlagsdata skole'!$AN$11*$E$14)*0.3+'[1]Vedlegg 1. Grunnlagsdata skole'!$AR$23+'[1]Vedlegg 1. Grunnlagsdata skole'!$AS$23+'[1]Vedlegg 1. Grunnlagsdata skole'!$AN$23/'[1]Vedlegg 1. Grunnlagsdata skole'!$AH$23</f>
        <v>35053175.274849057</v>
      </c>
      <c r="P14" s="21">
        <f>'[1]Vedlegg X. Alternativsmatrise'!K14</f>
        <v>0</v>
      </c>
      <c r="Q14" s="18">
        <f t="shared" si="5"/>
        <v>0</v>
      </c>
      <c r="R14" s="18"/>
      <c r="S14" s="18"/>
      <c r="T14" s="18"/>
      <c r="U14" s="18"/>
      <c r="V14" s="18" t="s">
        <v>165</v>
      </c>
    </row>
    <row r="15" spans="1:22" s="30" customFormat="1" ht="36.6" x14ac:dyDescent="0.4">
      <c r="A15" s="16"/>
      <c r="B15" s="31" t="s">
        <v>48</v>
      </c>
      <c r="C15" s="18" t="s">
        <v>28</v>
      </c>
      <c r="D15" s="18" t="s">
        <v>49</v>
      </c>
      <c r="E15" s="18"/>
      <c r="F15" s="25" t="s">
        <v>124</v>
      </c>
      <c r="G15" s="18"/>
      <c r="H15" s="18" t="s">
        <v>50</v>
      </c>
      <c r="I15" s="18">
        <v>1000</v>
      </c>
      <c r="J15" s="19">
        <f>'[1]Vedlegg X. Alternativsmatrise'!H15</f>
        <v>0</v>
      </c>
      <c r="K15" s="20">
        <v>30000</v>
      </c>
      <c r="L15" s="20">
        <v>50000</v>
      </c>
      <c r="M15" s="20">
        <f>K15*I15</f>
        <v>30000000</v>
      </c>
      <c r="N15" s="20">
        <f>L15*I15</f>
        <v>50000000</v>
      </c>
      <c r="O15" s="26" t="s">
        <v>51</v>
      </c>
      <c r="P15" s="21">
        <f>'[1]Vedlegg X. Alternativsmatrise'!K15</f>
        <v>0</v>
      </c>
      <c r="Q15" s="26"/>
      <c r="R15" s="22"/>
      <c r="S15" s="22"/>
      <c r="T15" s="22"/>
      <c r="U15" s="22"/>
      <c r="V15" s="18" t="s">
        <v>52</v>
      </c>
    </row>
    <row r="16" spans="1:22" s="32" customFormat="1" ht="39.6" thickBot="1" x14ac:dyDescent="0.65">
      <c r="A16" s="28" t="s">
        <v>41</v>
      </c>
      <c r="B16" s="31" t="s">
        <v>48</v>
      </c>
      <c r="C16" s="18" t="s">
        <v>30</v>
      </c>
      <c r="D16" s="18" t="s">
        <v>99</v>
      </c>
      <c r="E16" s="18">
        <v>1200</v>
      </c>
      <c r="F16" s="18" t="s">
        <v>122</v>
      </c>
      <c r="G16" s="18">
        <v>1200</v>
      </c>
      <c r="H16" s="18" t="s">
        <v>123</v>
      </c>
      <c r="I16" s="18">
        <f>1200+500</f>
        <v>1700</v>
      </c>
      <c r="J16" s="19">
        <f>'[1]Vedlegg X. Alternativsmatrise'!H16</f>
        <v>2</v>
      </c>
      <c r="K16" s="20">
        <v>5000</v>
      </c>
      <c r="L16" s="20">
        <v>15000</v>
      </c>
      <c r="M16" s="20">
        <f>G16*K16</f>
        <v>6000000</v>
      </c>
      <c r="N16" s="20">
        <f>L16*I16</f>
        <v>25500000</v>
      </c>
      <c r="O16" s="26" t="s">
        <v>51</v>
      </c>
      <c r="P16" s="21">
        <f>'[1]Vedlegg X. Alternativsmatrise'!K16</f>
        <v>0</v>
      </c>
      <c r="Q16" s="26"/>
      <c r="R16" s="22"/>
      <c r="S16" s="22"/>
      <c r="T16" s="22"/>
      <c r="U16" s="22"/>
      <c r="V16" s="18" t="s">
        <v>166</v>
      </c>
    </row>
    <row r="17" spans="1:22" s="34" customFormat="1" ht="55.2" thickBot="1" x14ac:dyDescent="0.45">
      <c r="A17" s="16"/>
      <c r="B17" s="33" t="s">
        <v>53</v>
      </c>
      <c r="C17" s="18" t="s">
        <v>28</v>
      </c>
      <c r="D17" s="18" t="s">
        <v>100</v>
      </c>
      <c r="E17" s="18">
        <f>785+425</f>
        <v>1210</v>
      </c>
      <c r="F17" s="18" t="s">
        <v>125</v>
      </c>
      <c r="G17" s="18">
        <f>E17</f>
        <v>1210</v>
      </c>
      <c r="H17" s="18"/>
      <c r="I17" s="18">
        <f>G17</f>
        <v>1210</v>
      </c>
      <c r="J17" s="19">
        <f>'[1]Vedlegg X. Alternativsmatrise'!H17</f>
        <v>1</v>
      </c>
      <c r="K17" s="20">
        <v>15000</v>
      </c>
      <c r="L17" s="20">
        <v>30000</v>
      </c>
      <c r="M17" s="20">
        <f>G17*K17</f>
        <v>18150000</v>
      </c>
      <c r="N17" s="20">
        <f>L17*I17</f>
        <v>36300000</v>
      </c>
      <c r="O17" s="20">
        <f>'[1]Vedlegg 1. Grunnlagsdata skole'!$AR$28+'[1]Vedlegg 1. Grunnlagsdata skole'!$AS$28+'[1]Vedlegg 1. Grunnlagsdata skole'!$AO$28</f>
        <v>10254375</v>
      </c>
      <c r="P17" s="21">
        <f>'[1]Vedlegg X. Alternativsmatrise'!K17</f>
        <v>0</v>
      </c>
      <c r="Q17" s="26"/>
      <c r="R17" s="18"/>
      <c r="S17" s="18"/>
      <c r="T17" s="18"/>
      <c r="U17" s="18"/>
      <c r="V17" s="18" t="s">
        <v>167</v>
      </c>
    </row>
    <row r="18" spans="1:22" s="35" customFormat="1" ht="31.8" thickBot="1" x14ac:dyDescent="0.65">
      <c r="A18" s="28" t="s">
        <v>54</v>
      </c>
      <c r="B18" s="33" t="s">
        <v>53</v>
      </c>
      <c r="C18" s="18" t="s">
        <v>30</v>
      </c>
      <c r="D18" s="18" t="s">
        <v>101</v>
      </c>
      <c r="E18" s="18">
        <f>E17</f>
        <v>1210</v>
      </c>
      <c r="F18" s="18" t="s">
        <v>126</v>
      </c>
      <c r="G18" s="18">
        <v>900</v>
      </c>
      <c r="H18" s="18" t="s">
        <v>127</v>
      </c>
      <c r="I18" s="18">
        <v>1500</v>
      </c>
      <c r="J18" s="19">
        <f>'[1]Vedlegg X. Alternativsmatrise'!H18</f>
        <v>1</v>
      </c>
      <c r="K18" s="20">
        <v>15000</v>
      </c>
      <c r="L18" s="20">
        <v>30000</v>
      </c>
      <c r="M18" s="20">
        <f>G18*K18</f>
        <v>13500000</v>
      </c>
      <c r="N18" s="20">
        <f>L18*I18</f>
        <v>45000000</v>
      </c>
      <c r="O18" s="26">
        <f>O17</f>
        <v>10254375</v>
      </c>
      <c r="P18" s="21">
        <f>'[1]Vedlegg X. Alternativsmatrise'!K18</f>
        <v>2</v>
      </c>
      <c r="Q18" s="26">
        <f>O18*(P18*0.1)</f>
        <v>2050875</v>
      </c>
      <c r="R18" s="22">
        <f>M18/Q18</f>
        <v>6.5825562260010972</v>
      </c>
      <c r="S18" s="22">
        <f>N18/Q18</f>
        <v>21.941854086670325</v>
      </c>
      <c r="T18" s="22"/>
      <c r="U18" s="22"/>
      <c r="V18" s="18" t="s">
        <v>168</v>
      </c>
    </row>
    <row r="19" spans="1:22" s="34" customFormat="1" ht="37.200000000000003" thickBot="1" x14ac:dyDescent="0.45">
      <c r="A19" s="16"/>
      <c r="B19" s="36" t="s">
        <v>55</v>
      </c>
      <c r="C19" s="18" t="s">
        <v>28</v>
      </c>
      <c r="D19" s="18" t="s">
        <v>102</v>
      </c>
      <c r="E19" s="18">
        <f>2292+961</f>
        <v>3253</v>
      </c>
      <c r="F19" s="18" t="s">
        <v>128</v>
      </c>
      <c r="G19" s="18">
        <f>E19-900</f>
        <v>2353</v>
      </c>
      <c r="H19" s="18" t="s">
        <v>128</v>
      </c>
      <c r="I19" s="18">
        <f>G19</f>
        <v>2353</v>
      </c>
      <c r="J19" s="19">
        <f>'[1]Vedlegg X. Alternativsmatrise'!H19</f>
        <v>2</v>
      </c>
      <c r="K19" s="20">
        <v>5000</v>
      </c>
      <c r="L19" s="20">
        <v>15000</v>
      </c>
      <c r="M19" s="20">
        <f t="shared" ref="M19:M34" si="6">G19*K19</f>
        <v>11765000</v>
      </c>
      <c r="N19" s="20">
        <f t="shared" ref="N19:N34" si="7">L19*I19</f>
        <v>35295000</v>
      </c>
      <c r="O19" s="20">
        <f>3919732+1832512+15500000+3000000</f>
        <v>24252244</v>
      </c>
      <c r="P19" s="21">
        <f>'[1]Vedlegg X. Alternativsmatrise'!K19</f>
        <v>0</v>
      </c>
      <c r="Q19" s="26">
        <f t="shared" ref="Q19:Q25" si="8">O19*(P19*0.1)</f>
        <v>0</v>
      </c>
      <c r="R19" s="18"/>
      <c r="S19" s="18"/>
      <c r="T19" s="18"/>
      <c r="U19" s="18"/>
      <c r="V19" s="18" t="s">
        <v>169</v>
      </c>
    </row>
    <row r="20" spans="1:22" s="35" customFormat="1" ht="39.6" thickBot="1" x14ac:dyDescent="0.65">
      <c r="A20" s="28" t="s">
        <v>54</v>
      </c>
      <c r="B20" s="36" t="s">
        <v>55</v>
      </c>
      <c r="C20" s="18" t="s">
        <v>30</v>
      </c>
      <c r="D20" s="18" t="s">
        <v>88</v>
      </c>
      <c r="E20" s="18">
        <f>2292+961</f>
        <v>3253</v>
      </c>
      <c r="F20" s="18" t="s">
        <v>129</v>
      </c>
      <c r="G20" s="20">
        <f>E20*0.5</f>
        <v>1626.5</v>
      </c>
      <c r="H20" s="18" t="s">
        <v>130</v>
      </c>
      <c r="I20" s="18">
        <f>I19</f>
        <v>2353</v>
      </c>
      <c r="J20" s="19">
        <f>'[1]Vedlegg X. Alternativsmatrise'!H20</f>
        <v>2</v>
      </c>
      <c r="K20" s="20">
        <v>5000</v>
      </c>
      <c r="L20" s="20">
        <v>15000</v>
      </c>
      <c r="M20" s="20">
        <f t="shared" si="6"/>
        <v>8132500</v>
      </c>
      <c r="N20" s="20">
        <f t="shared" si="7"/>
        <v>35295000</v>
      </c>
      <c r="O20" s="26">
        <f>O19</f>
        <v>24252244</v>
      </c>
      <c r="P20" s="21">
        <f>'[1]Vedlegg X. Alternativsmatrise'!K20</f>
        <v>2</v>
      </c>
      <c r="Q20" s="26">
        <f t="shared" si="8"/>
        <v>4850448.8</v>
      </c>
      <c r="R20" s="22">
        <f t="shared" ref="R20:R28" si="9">M20/Q20</f>
        <v>1.6766489731836773</v>
      </c>
      <c r="S20" s="22">
        <f t="shared" ref="S20:S28" si="10">N20/Q20</f>
        <v>7.2766462352927013</v>
      </c>
      <c r="T20" s="22"/>
      <c r="U20" s="22"/>
      <c r="V20" s="18" t="s">
        <v>170</v>
      </c>
    </row>
    <row r="21" spans="1:22" s="35" customFormat="1" ht="21.6" thickBot="1" x14ac:dyDescent="0.45">
      <c r="A21" s="16"/>
      <c r="B21" s="37" t="s">
        <v>56</v>
      </c>
      <c r="C21" s="18" t="s">
        <v>28</v>
      </c>
      <c r="D21" s="18" t="s">
        <v>57</v>
      </c>
      <c r="E21" s="18">
        <f>'[1]Vedlegg 1. Grunnlagsdata skole'!$AH$22+'[1]Vedlegg 1. Grunnlagsdata skole'!$AH$21</f>
        <v>19098</v>
      </c>
      <c r="F21" s="18" t="s">
        <v>17</v>
      </c>
      <c r="G21" s="18">
        <f>E21</f>
        <v>19098</v>
      </c>
      <c r="H21" s="18" t="s">
        <v>17</v>
      </c>
      <c r="I21" s="18">
        <f>G21</f>
        <v>19098</v>
      </c>
      <c r="J21" s="19">
        <f>'[1]Vedlegg X. Alternativsmatrise'!H21</f>
        <v>2</v>
      </c>
      <c r="K21" s="20">
        <v>5000</v>
      </c>
      <c r="L21" s="20">
        <v>15000</v>
      </c>
      <c r="M21" s="20">
        <f t="shared" si="6"/>
        <v>95490000</v>
      </c>
      <c r="N21" s="20">
        <f t="shared" si="7"/>
        <v>286470000</v>
      </c>
      <c r="O21" s="20">
        <f>'[1]Vedlegg 1. Grunnlagsdata skole'!$AH$22*'[1]Vedlegg 1. Grunnlagsdata skole'!$AN$22+'[1]Vedlegg 1. Grunnlagsdata skole'!$AR$22+'[1]Vedlegg 1. Grunnlagsdata skole'!$AS$22+'[1]Vedlegg 1. Grunnlagsdata skole'!AH21*'[1]Vedlegg 1. Grunnlagsdata skole'!$AN$21+'[1]Vedlegg 1. Grunnlagsdata skole'!$AR$21+'[1]Vedlegg 1. Grunnlagsdata skole'!$AS$21</f>
        <v>119833596</v>
      </c>
      <c r="P21" s="21">
        <f>'[1]Vedlegg X. Alternativsmatrise'!K21</f>
        <v>0</v>
      </c>
      <c r="Q21" s="26">
        <f t="shared" si="8"/>
        <v>0</v>
      </c>
      <c r="R21" s="22" t="e">
        <f t="shared" si="9"/>
        <v>#DIV/0!</v>
      </c>
      <c r="S21" s="22" t="e">
        <f t="shared" si="10"/>
        <v>#DIV/0!</v>
      </c>
      <c r="T21" s="22"/>
      <c r="U21" s="22"/>
      <c r="V21" s="18"/>
    </row>
    <row r="22" spans="1:22" s="35" customFormat="1" ht="39.6" thickBot="1" x14ac:dyDescent="0.65">
      <c r="A22" s="28" t="s">
        <v>58</v>
      </c>
      <c r="B22" s="37" t="s">
        <v>56</v>
      </c>
      <c r="C22" s="18" t="s">
        <v>30</v>
      </c>
      <c r="D22" s="18" t="s">
        <v>59</v>
      </c>
      <c r="E22" s="18">
        <f>'[1]Vedlegg 1. Grunnlagsdata skole'!$AH$22+'[1]Vedlegg 1. Grunnlagsdata skole'!$AH$21</f>
        <v>19098</v>
      </c>
      <c r="F22" s="18" t="s">
        <v>131</v>
      </c>
      <c r="G22" s="18">
        <f>E22</f>
        <v>19098</v>
      </c>
      <c r="H22" s="18" t="s">
        <v>132</v>
      </c>
      <c r="I22" s="18">
        <f>G22</f>
        <v>19098</v>
      </c>
      <c r="J22" s="19">
        <f>'[1]Vedlegg X. Alternativsmatrise'!H22</f>
        <v>2</v>
      </c>
      <c r="K22" s="20">
        <v>5000</v>
      </c>
      <c r="L22" s="20">
        <v>15000</v>
      </c>
      <c r="M22" s="20">
        <f t="shared" si="6"/>
        <v>95490000</v>
      </c>
      <c r="N22" s="20">
        <f t="shared" si="7"/>
        <v>286470000</v>
      </c>
      <c r="O22" s="20">
        <f>O21</f>
        <v>119833596</v>
      </c>
      <c r="P22" s="21">
        <f>'[1]Vedlegg X. Alternativsmatrise'!K22</f>
        <v>1</v>
      </c>
      <c r="Q22" s="26">
        <f t="shared" si="8"/>
        <v>11983359.600000001</v>
      </c>
      <c r="R22" s="22">
        <f t="shared" si="9"/>
        <v>7.9685499882687312</v>
      </c>
      <c r="S22" s="22">
        <f t="shared" si="10"/>
        <v>23.905649964806194</v>
      </c>
      <c r="T22" s="22"/>
      <c r="U22" s="22"/>
      <c r="V22" s="18" t="s">
        <v>171</v>
      </c>
    </row>
    <row r="23" spans="1:22" s="23" customFormat="1" ht="21.6" thickBot="1" x14ac:dyDescent="0.45">
      <c r="A23" s="16"/>
      <c r="B23" s="38" t="s">
        <v>60</v>
      </c>
      <c r="C23" s="18" t="s">
        <v>28</v>
      </c>
      <c r="D23" s="18" t="s">
        <v>61</v>
      </c>
      <c r="E23" s="18">
        <f>'[1]Vedlegg 1. Grunnlagsdata skole'!$AH$20</f>
        <v>1886</v>
      </c>
      <c r="F23" s="18" t="s">
        <v>133</v>
      </c>
      <c r="G23" s="39">
        <f>E23*0.8</f>
        <v>1508.8000000000002</v>
      </c>
      <c r="H23" s="18" t="s">
        <v>62</v>
      </c>
      <c r="I23" s="18">
        <f>E23</f>
        <v>1886</v>
      </c>
      <c r="J23" s="19">
        <f>'[1]Vedlegg X. Alternativsmatrise'!H23</f>
        <v>1</v>
      </c>
      <c r="K23" s="20">
        <v>15000</v>
      </c>
      <c r="L23" s="20">
        <v>30000</v>
      </c>
      <c r="M23" s="20">
        <f t="shared" si="6"/>
        <v>22632000.000000004</v>
      </c>
      <c r="N23" s="20">
        <f t="shared" si="7"/>
        <v>56580000</v>
      </c>
      <c r="O23" s="20">
        <f>'[1]Vedlegg 1. Grunnlagsdata skole'!$AR$20+'[1]Vedlegg 1. Grunnlagsdata skole'!$AS$20+'[1]Vedlegg 1. Grunnlagsdata skole'!$AN$20*'[1]Vedlegg 1. Grunnlagsdata skole'!$AH$20</f>
        <v>14761586</v>
      </c>
      <c r="P23" s="21">
        <f>'[1]Vedlegg X. Alternativsmatrise'!K23</f>
        <v>0</v>
      </c>
      <c r="Q23" s="26">
        <f t="shared" si="8"/>
        <v>0</v>
      </c>
      <c r="R23" s="22" t="e">
        <f t="shared" si="9"/>
        <v>#DIV/0!</v>
      </c>
      <c r="S23" s="22" t="e">
        <f t="shared" si="10"/>
        <v>#DIV/0!</v>
      </c>
      <c r="T23" s="22"/>
      <c r="U23" s="22"/>
      <c r="V23" s="18"/>
    </row>
    <row r="24" spans="1:22" s="23" customFormat="1" ht="39" x14ac:dyDescent="0.6">
      <c r="A24" s="28" t="s">
        <v>54</v>
      </c>
      <c r="B24" s="38" t="s">
        <v>60</v>
      </c>
      <c r="C24" s="18" t="s">
        <v>30</v>
      </c>
      <c r="D24" s="18" t="s">
        <v>89</v>
      </c>
      <c r="E24" s="18">
        <f>E23</f>
        <v>1886</v>
      </c>
      <c r="F24" s="18" t="s">
        <v>134</v>
      </c>
      <c r="G24" s="18">
        <v>600</v>
      </c>
      <c r="H24" s="18" t="s">
        <v>135</v>
      </c>
      <c r="I24" s="18">
        <v>900</v>
      </c>
      <c r="J24" s="19">
        <f>'[1]Vedlegg X. Alternativsmatrise'!H24</f>
        <v>2</v>
      </c>
      <c r="K24" s="20">
        <v>5000</v>
      </c>
      <c r="L24" s="20">
        <v>15000</v>
      </c>
      <c r="M24" s="20">
        <f t="shared" si="6"/>
        <v>3000000</v>
      </c>
      <c r="N24" s="20">
        <f t="shared" si="7"/>
        <v>13500000</v>
      </c>
      <c r="O24" s="20">
        <f>O23</f>
        <v>14761586</v>
      </c>
      <c r="P24" s="21">
        <f>'[1]Vedlegg X. Alternativsmatrise'!K24</f>
        <v>3</v>
      </c>
      <c r="Q24" s="26">
        <f t="shared" si="8"/>
        <v>4428475.8000000007</v>
      </c>
      <c r="R24" s="22">
        <f t="shared" si="9"/>
        <v>0.67743398304220148</v>
      </c>
      <c r="S24" s="22">
        <f t="shared" si="10"/>
        <v>3.0484529236899065</v>
      </c>
      <c r="T24" s="22">
        <f>'[1]Verdivurdering av Tomt og byggV'!F41</f>
        <v>5658000</v>
      </c>
      <c r="U24" s="22">
        <f>'[1]Verdivurdering av Tomt og byggV'!E41</f>
        <v>9800000</v>
      </c>
      <c r="V24" s="18" t="s">
        <v>172</v>
      </c>
    </row>
    <row r="25" spans="1:22" s="27" customFormat="1" ht="36.6" x14ac:dyDescent="0.4">
      <c r="A25" s="16"/>
      <c r="B25" s="38" t="s">
        <v>60</v>
      </c>
      <c r="C25" s="18" t="s">
        <v>32</v>
      </c>
      <c r="D25" s="18" t="s">
        <v>103</v>
      </c>
      <c r="E25" s="18">
        <f>E24</f>
        <v>1886</v>
      </c>
      <c r="F25" s="18" t="s">
        <v>136</v>
      </c>
      <c r="G25" s="18">
        <v>900</v>
      </c>
      <c r="H25" s="18" t="s">
        <v>137</v>
      </c>
      <c r="I25" s="18">
        <v>1200</v>
      </c>
      <c r="J25" s="19">
        <f>'[1]Vedlegg X. Alternativsmatrise'!H25</f>
        <v>2</v>
      </c>
      <c r="K25" s="20">
        <f>K24</f>
        <v>5000</v>
      </c>
      <c r="L25" s="20">
        <f>L24</f>
        <v>15000</v>
      </c>
      <c r="M25" s="20">
        <f t="shared" si="6"/>
        <v>4500000</v>
      </c>
      <c r="N25" s="20">
        <f t="shared" si="7"/>
        <v>18000000</v>
      </c>
      <c r="O25" s="20">
        <f>O24</f>
        <v>14761586</v>
      </c>
      <c r="P25" s="21">
        <f>'[1]Vedlegg X. Alternativsmatrise'!K25</f>
        <v>2</v>
      </c>
      <c r="Q25" s="26">
        <f t="shared" si="8"/>
        <v>2952317.2</v>
      </c>
      <c r="R25" s="22">
        <f t="shared" si="9"/>
        <v>1.5242264618449535</v>
      </c>
      <c r="S25" s="22">
        <f t="shared" si="10"/>
        <v>6.0969058473798139</v>
      </c>
      <c r="T25" s="22"/>
      <c r="U25" s="22"/>
      <c r="V25" s="18" t="s">
        <v>173</v>
      </c>
    </row>
    <row r="26" spans="1:22" s="27" customFormat="1" ht="42" x14ac:dyDescent="0.4">
      <c r="A26" s="16"/>
      <c r="B26" s="40" t="s">
        <v>63</v>
      </c>
      <c r="C26" s="18" t="s">
        <v>28</v>
      </c>
      <c r="D26" s="18" t="s">
        <v>104</v>
      </c>
      <c r="E26" s="18">
        <v>637</v>
      </c>
      <c r="F26" s="18" t="s">
        <v>138</v>
      </c>
      <c r="G26" s="18">
        <v>637</v>
      </c>
      <c r="H26" s="18" t="s">
        <v>139</v>
      </c>
      <c r="I26" s="18">
        <f>'[1]Vedlegg 1. Grunndata bhg'!X56</f>
        <v>0</v>
      </c>
      <c r="J26" s="19">
        <f>'[1]Vedlegg X. Alternativsmatrise'!H26</f>
        <v>1</v>
      </c>
      <c r="K26" s="20">
        <v>15000</v>
      </c>
      <c r="L26" s="20">
        <v>30000</v>
      </c>
      <c r="M26" s="20">
        <f t="shared" si="6"/>
        <v>9555000</v>
      </c>
      <c r="N26" s="20">
        <f t="shared" si="7"/>
        <v>0</v>
      </c>
      <c r="O26" s="20">
        <f>'[1]Vedlegg 1. Grunnlagsdata skole'!$AS$8+'[1]Vedlegg 1. Grunnlagsdata skole'!$AR$8+'[1]Vedlegg 1. Grunnlagsdata skole'!$AN$8*'[1]Vedlegg 1. Grunnlagsdata skole'!$AH$8</f>
        <v>17563129</v>
      </c>
      <c r="P26" s="21">
        <f>'[1]Vedlegg X. Alternativsmatrise'!K26</f>
        <v>0</v>
      </c>
      <c r="Q26" s="18">
        <f>O26*0.1*P26</f>
        <v>0</v>
      </c>
      <c r="R26" s="22" t="e">
        <f t="shared" si="9"/>
        <v>#DIV/0!</v>
      </c>
      <c r="S26" s="22" t="e">
        <f t="shared" si="10"/>
        <v>#DIV/0!</v>
      </c>
      <c r="T26" s="22"/>
      <c r="U26" s="22"/>
      <c r="V26" s="18" t="s">
        <v>174</v>
      </c>
    </row>
    <row r="27" spans="1:22" s="34" customFormat="1" ht="42.6" thickBot="1" x14ac:dyDescent="0.45">
      <c r="A27" s="16"/>
      <c r="B27" s="40" t="s">
        <v>63</v>
      </c>
      <c r="C27" s="18" t="s">
        <v>30</v>
      </c>
      <c r="D27" s="18" t="s">
        <v>90</v>
      </c>
      <c r="E27" s="18"/>
      <c r="F27" s="18" t="s">
        <v>141</v>
      </c>
      <c r="G27" s="18">
        <f>'[1]Vedlegg 1. Grunndata bhg'!X48</f>
        <v>637</v>
      </c>
      <c r="H27" s="18" t="s">
        <v>140</v>
      </c>
      <c r="I27" s="18">
        <f>G27+200</f>
        <v>837</v>
      </c>
      <c r="J27" s="19">
        <f>'[1]Vedlegg X. Alternativsmatrise'!H27</f>
        <v>2</v>
      </c>
      <c r="K27" s="20">
        <v>5000</v>
      </c>
      <c r="L27" s="20">
        <v>15000</v>
      </c>
      <c r="M27" s="20">
        <f t="shared" si="6"/>
        <v>3185000</v>
      </c>
      <c r="N27" s="20">
        <f t="shared" si="7"/>
        <v>12555000</v>
      </c>
      <c r="O27" s="20">
        <f>O26</f>
        <v>17563129</v>
      </c>
      <c r="P27" s="21">
        <f>'[1]Vedlegg X. Alternativsmatrise'!K27</f>
        <v>1</v>
      </c>
      <c r="Q27" s="20">
        <f>O27*0.1*P27</f>
        <v>1756312.9000000001</v>
      </c>
      <c r="R27" s="22">
        <f t="shared" si="9"/>
        <v>1.8134581827645859</v>
      </c>
      <c r="S27" s="22">
        <f t="shared" si="10"/>
        <v>7.1484984253090662</v>
      </c>
      <c r="T27" s="18"/>
      <c r="U27" s="18"/>
      <c r="V27" s="18" t="s">
        <v>175</v>
      </c>
    </row>
    <row r="28" spans="1:22" s="41" customFormat="1" ht="44.4" x14ac:dyDescent="0.6">
      <c r="A28" s="28" t="s">
        <v>41</v>
      </c>
      <c r="B28" s="40" t="s">
        <v>63</v>
      </c>
      <c r="C28" s="18">
        <v>3</v>
      </c>
      <c r="D28" s="18" t="s">
        <v>91</v>
      </c>
      <c r="E28" s="18"/>
      <c r="F28" s="18" t="s">
        <v>141</v>
      </c>
      <c r="G28" s="18">
        <f>G27</f>
        <v>637</v>
      </c>
      <c r="H28" s="18" t="s">
        <v>142</v>
      </c>
      <c r="I28" s="18">
        <f>G28+400</f>
        <v>1037</v>
      </c>
      <c r="J28" s="19">
        <f>'[1]Vedlegg X. Alternativsmatrise'!H28</f>
        <v>2</v>
      </c>
      <c r="K28" s="20">
        <v>5000</v>
      </c>
      <c r="L28" s="20">
        <v>15000</v>
      </c>
      <c r="M28" s="20">
        <f t="shared" si="6"/>
        <v>3185000</v>
      </c>
      <c r="N28" s="20">
        <f t="shared" si="7"/>
        <v>15555000</v>
      </c>
      <c r="O28" s="20">
        <f>O27</f>
        <v>17563129</v>
      </c>
      <c r="P28" s="21">
        <f>'[1]Vedlegg X. Alternativsmatrise'!K28</f>
        <v>2</v>
      </c>
      <c r="Q28" s="20">
        <f>O28*0.1*P28</f>
        <v>3512625.8000000003</v>
      </c>
      <c r="R28" s="22">
        <f t="shared" si="9"/>
        <v>0.90672909138229296</v>
      </c>
      <c r="S28" s="22">
        <f t="shared" si="10"/>
        <v>4.4283111511621875</v>
      </c>
      <c r="T28" s="22">
        <f>'[1]Verdivurdering av Tomt og byggV'!F39</f>
        <v>1911000</v>
      </c>
      <c r="U28" s="22">
        <f>'[1]Verdivurdering av Tomt og byggV'!E39</f>
        <v>10150000</v>
      </c>
      <c r="V28" s="18" t="s">
        <v>176</v>
      </c>
    </row>
    <row r="29" spans="1:22" ht="37.200000000000003" thickBot="1" x14ac:dyDescent="0.45">
      <c r="A29" s="42"/>
      <c r="B29" s="43" t="s">
        <v>64</v>
      </c>
      <c r="C29" s="18" t="s">
        <v>28</v>
      </c>
      <c r="D29" s="18" t="s">
        <v>92</v>
      </c>
      <c r="E29" s="18">
        <v>1000</v>
      </c>
      <c r="F29" s="18" t="s">
        <v>65</v>
      </c>
      <c r="G29" s="18">
        <v>600</v>
      </c>
      <c r="H29" s="18" t="s">
        <v>143</v>
      </c>
      <c r="I29" s="18">
        <v>1300</v>
      </c>
      <c r="J29" s="19">
        <f>'[1]Vedlegg X. Alternativsmatrise'!H29</f>
        <v>1</v>
      </c>
      <c r="K29" s="20">
        <v>15000</v>
      </c>
      <c r="L29" s="20">
        <v>30000</v>
      </c>
      <c r="M29" s="20">
        <f t="shared" si="6"/>
        <v>9000000</v>
      </c>
      <c r="N29" s="20">
        <f t="shared" si="7"/>
        <v>39000000</v>
      </c>
      <c r="O29" s="20">
        <f>1104000+3589000+1000*600</f>
        <v>5293000</v>
      </c>
      <c r="P29" s="21">
        <f>'[1]Vedlegg X. Alternativsmatrise'!K29</f>
        <v>0</v>
      </c>
      <c r="Q29" s="18"/>
      <c r="R29" s="18"/>
      <c r="S29" s="18"/>
      <c r="T29" s="18"/>
      <c r="U29" s="18"/>
      <c r="V29" s="18" t="s">
        <v>177</v>
      </c>
    </row>
    <row r="30" spans="1:22" s="41" customFormat="1" ht="31.2" x14ac:dyDescent="0.6">
      <c r="A30" s="28" t="s">
        <v>54</v>
      </c>
      <c r="B30" s="43" t="s">
        <v>64</v>
      </c>
      <c r="C30" s="18" t="s">
        <v>30</v>
      </c>
      <c r="D30" s="18" t="s">
        <v>93</v>
      </c>
      <c r="E30" s="18">
        <v>1000</v>
      </c>
      <c r="F30" s="18" t="s">
        <v>144</v>
      </c>
      <c r="G30" s="18">
        <v>1000</v>
      </c>
      <c r="H30" s="18" t="s">
        <v>144</v>
      </c>
      <c r="I30" s="18">
        <v>1000</v>
      </c>
      <c r="J30" s="19">
        <f>'[1]Vedlegg X. Alternativsmatrise'!H30</f>
        <v>3</v>
      </c>
      <c r="K30" s="20">
        <v>5000</v>
      </c>
      <c r="L30" s="20">
        <v>5000</v>
      </c>
      <c r="M30" s="20">
        <f t="shared" si="6"/>
        <v>5000000</v>
      </c>
      <c r="N30" s="20">
        <f t="shared" si="7"/>
        <v>5000000</v>
      </c>
      <c r="O30" s="20">
        <f>1104000+3589000+1000*600</f>
        <v>5293000</v>
      </c>
      <c r="P30" s="21">
        <f>'[1]Vedlegg X. Alternativsmatrise'!K30</f>
        <v>3</v>
      </c>
      <c r="Q30" s="20">
        <f>O30*0.1*P30</f>
        <v>1587900</v>
      </c>
      <c r="R30" s="22">
        <f t="shared" ref="R30" si="11">M30/Q30</f>
        <v>3.1488128975376282</v>
      </c>
      <c r="S30" s="22">
        <f t="shared" ref="S30" si="12">N30/Q30</f>
        <v>3.1488128975376282</v>
      </c>
      <c r="T30" s="22"/>
      <c r="U30" s="22"/>
      <c r="V30" s="18" t="s">
        <v>178</v>
      </c>
    </row>
    <row r="31" spans="1:22" ht="21.6" thickBot="1" x14ac:dyDescent="0.45">
      <c r="A31" s="42"/>
      <c r="B31" s="44" t="s">
        <v>66</v>
      </c>
      <c r="C31" s="18" t="s">
        <v>28</v>
      </c>
      <c r="D31" s="18" t="s">
        <v>67</v>
      </c>
      <c r="E31" s="18">
        <f>'[1]Vedlegg 1. Grunnlagsdata skole'!$AH$29+'[1]Vedlegg 1. Grunnlagsdata skole'!$AH$30</f>
        <v>6014</v>
      </c>
      <c r="F31" s="18" t="s">
        <v>145</v>
      </c>
      <c r="G31" s="18"/>
      <c r="H31" s="18" t="s">
        <v>145</v>
      </c>
      <c r="I31" s="18"/>
      <c r="J31" s="19">
        <f>'[1]Vedlegg X. Alternativsmatrise'!H31</f>
        <v>2</v>
      </c>
      <c r="K31" s="20">
        <v>5000</v>
      </c>
      <c r="L31" s="20">
        <v>15000</v>
      </c>
      <c r="M31" s="20">
        <f t="shared" si="6"/>
        <v>0</v>
      </c>
      <c r="N31" s="20">
        <f t="shared" si="7"/>
        <v>0</v>
      </c>
      <c r="O31" s="20">
        <f>'[1]Vedlegg 1. Grunnlagsdata skole'!$AS$30+'[1]Vedlegg 1. Grunnlagsdata skole'!$AR$30+'[1]Vedlegg 1. Grunnlagsdata skole'!$AN$30*'[1]Vedlegg 1. Grunnlagsdata skole'!$AH$30+'[1]Vedlegg 1. Grunnlagsdata skole'!$AS$29+'[1]Vedlegg 1. Grunnlagsdata skole'!$AR$29+'[1]Vedlegg 1. Grunnlagsdata skole'!$AN$29*'[1]Vedlegg 1. Grunnlagsdata skole'!$AH$29</f>
        <v>24069308</v>
      </c>
      <c r="P31" s="21">
        <f>'[1]Vedlegg X. Alternativsmatrise'!K31</f>
        <v>0</v>
      </c>
      <c r="Q31" s="20">
        <f>O31*0.1*P31</f>
        <v>0</v>
      </c>
      <c r="R31" s="18"/>
      <c r="S31" s="18"/>
      <c r="T31" s="18"/>
      <c r="U31" s="18"/>
      <c r="V31" s="18"/>
    </row>
    <row r="32" spans="1:22" s="41" customFormat="1" ht="21.6" thickBot="1" x14ac:dyDescent="0.45">
      <c r="A32" s="42"/>
      <c r="B32" s="44" t="s">
        <v>66</v>
      </c>
      <c r="C32" s="18" t="s">
        <v>30</v>
      </c>
      <c r="D32" s="18" t="s">
        <v>68</v>
      </c>
      <c r="E32" s="18">
        <f>E31</f>
        <v>6014</v>
      </c>
      <c r="F32" s="18" t="s">
        <v>146</v>
      </c>
      <c r="G32" s="18">
        <v>500</v>
      </c>
      <c r="H32" s="18" t="s">
        <v>147</v>
      </c>
      <c r="I32" s="18">
        <v>800</v>
      </c>
      <c r="J32" s="19">
        <f>'[1]Vedlegg X. Alternativsmatrise'!H32</f>
        <v>2</v>
      </c>
      <c r="K32" s="20">
        <v>5000</v>
      </c>
      <c r="L32" s="20">
        <v>15000</v>
      </c>
      <c r="M32" s="20">
        <f t="shared" si="6"/>
        <v>2500000</v>
      </c>
      <c r="N32" s="20">
        <f t="shared" si="7"/>
        <v>12000000</v>
      </c>
      <c r="O32" s="20">
        <f>O31</f>
        <v>24069308</v>
      </c>
      <c r="P32" s="21">
        <f>'[1]Vedlegg X. Alternativsmatrise'!K32</f>
        <v>1</v>
      </c>
      <c r="Q32" s="20">
        <f>O32*0.1*P32</f>
        <v>2406930.8000000003</v>
      </c>
      <c r="R32" s="22">
        <f t="shared" ref="R32:R34" si="13">M32/Q32</f>
        <v>1.0386671689938072</v>
      </c>
      <c r="S32" s="22">
        <f t="shared" ref="S32:S34" si="14">N32/Q32</f>
        <v>4.9856024111702748</v>
      </c>
      <c r="T32" s="22"/>
      <c r="U32" s="22"/>
      <c r="V32" s="18"/>
    </row>
    <row r="33" spans="1:22" s="41" customFormat="1" ht="39" x14ac:dyDescent="0.6">
      <c r="A33" s="28" t="s">
        <v>54</v>
      </c>
      <c r="B33" s="44" t="s">
        <v>66</v>
      </c>
      <c r="C33" s="18" t="s">
        <v>32</v>
      </c>
      <c r="D33" s="18" t="s">
        <v>69</v>
      </c>
      <c r="E33" s="18">
        <f>E32</f>
        <v>6014</v>
      </c>
      <c r="F33" s="18" t="s">
        <v>148</v>
      </c>
      <c r="G33" s="18">
        <v>1200</v>
      </c>
      <c r="H33" s="18" t="s">
        <v>149</v>
      </c>
      <c r="I33" s="18">
        <v>2000</v>
      </c>
      <c r="J33" s="19">
        <f>'[1]Vedlegg X. Alternativsmatrise'!H33</f>
        <v>2</v>
      </c>
      <c r="K33" s="20">
        <v>5000</v>
      </c>
      <c r="L33" s="20">
        <v>15000</v>
      </c>
      <c r="M33" s="20">
        <f t="shared" si="6"/>
        <v>6000000</v>
      </c>
      <c r="N33" s="20">
        <f t="shared" si="7"/>
        <v>30000000</v>
      </c>
      <c r="O33" s="20">
        <f>O32</f>
        <v>24069308</v>
      </c>
      <c r="P33" s="21">
        <f>'[1]Vedlegg X. Alternativsmatrise'!K33</f>
        <v>3</v>
      </c>
      <c r="Q33" s="20">
        <f>O33*0.1*P33</f>
        <v>7220792.4000000004</v>
      </c>
      <c r="R33" s="22">
        <f t="shared" si="13"/>
        <v>0.83093373519504587</v>
      </c>
      <c r="S33" s="22">
        <f t="shared" si="14"/>
        <v>4.1546686759752296</v>
      </c>
      <c r="T33" s="22">
        <f>'[1]Verdivurdering av Tomt og byggV'!F44+'[1]Verdivurdering av Tomt og byggV'!F45</f>
        <v>15282000</v>
      </c>
      <c r="U33" s="22">
        <f>'[1]Verdivurdering av Tomt og byggV'!E44+'[1]Verdivurdering av Tomt og byggV'!E45</f>
        <v>10500000</v>
      </c>
      <c r="V33" s="18" t="s">
        <v>179</v>
      </c>
    </row>
    <row r="34" spans="1:22" ht="21" x14ac:dyDescent="0.4">
      <c r="A34" s="42"/>
      <c r="B34" s="44" t="s">
        <v>66</v>
      </c>
      <c r="C34" s="18" t="s">
        <v>36</v>
      </c>
      <c r="D34" s="18" t="s">
        <v>70</v>
      </c>
      <c r="E34" s="18">
        <f>E33</f>
        <v>6014</v>
      </c>
      <c r="F34" s="18" t="s">
        <v>71</v>
      </c>
      <c r="G34" s="18">
        <v>800</v>
      </c>
      <c r="H34" s="18" t="s">
        <v>72</v>
      </c>
      <c r="I34" s="18">
        <v>1500</v>
      </c>
      <c r="J34" s="19">
        <f>'[1]Vedlegg X. Alternativsmatrise'!H34</f>
        <v>2</v>
      </c>
      <c r="K34" s="20">
        <v>5000</v>
      </c>
      <c r="L34" s="20">
        <v>15000</v>
      </c>
      <c r="M34" s="20">
        <f t="shared" si="6"/>
        <v>4000000</v>
      </c>
      <c r="N34" s="20">
        <f t="shared" si="7"/>
        <v>22500000</v>
      </c>
      <c r="O34" s="26">
        <f>O33</f>
        <v>24069308</v>
      </c>
      <c r="P34" s="21">
        <f>'[1]Vedlegg X. Alternativsmatrise'!K34</f>
        <v>2</v>
      </c>
      <c r="Q34" s="20">
        <f>O34*0.1*P34</f>
        <v>4813861.6000000006</v>
      </c>
      <c r="R34" s="22">
        <f t="shared" si="13"/>
        <v>0.83093373519504576</v>
      </c>
      <c r="S34" s="22">
        <f t="shared" si="14"/>
        <v>4.6740022604721325</v>
      </c>
      <c r="T34" s="22"/>
      <c r="U34" s="22"/>
      <c r="V34" s="18"/>
    </row>
    <row r="35" spans="1:22" ht="29.4" thickBot="1" x14ac:dyDescent="0.6">
      <c r="B35" s="45"/>
      <c r="C35" s="45"/>
      <c r="D35" s="46"/>
      <c r="H35" s="47"/>
      <c r="J35" s="49"/>
      <c r="K35" s="50"/>
      <c r="L35" s="50"/>
      <c r="M35" s="51"/>
      <c r="N35" s="52"/>
      <c r="O35" s="53"/>
      <c r="Q35" s="55"/>
      <c r="R35" s="56"/>
      <c r="S35" s="57"/>
      <c r="T35" s="58"/>
      <c r="U35" s="58"/>
    </row>
    <row r="36" spans="1:22" ht="46.2" customHeight="1" x14ac:dyDescent="0.35">
      <c r="E36" s="3"/>
      <c r="F36" s="72" t="s">
        <v>0</v>
      </c>
      <c r="G36" s="72"/>
      <c r="H36" s="72"/>
      <c r="I36" s="72"/>
      <c r="J36" s="72"/>
      <c r="K36" s="72"/>
      <c r="L36" s="72"/>
      <c r="M36" s="72"/>
      <c r="N36" s="72"/>
      <c r="O36" s="73" t="s">
        <v>1</v>
      </c>
      <c r="P36" s="73"/>
      <c r="Q36" s="73"/>
      <c r="R36" s="73"/>
      <c r="S36" s="73"/>
      <c r="T36" s="74" t="s">
        <v>2</v>
      </c>
      <c r="U36" s="75"/>
      <c r="V36" s="4" t="s">
        <v>161</v>
      </c>
    </row>
    <row r="37" spans="1:22" s="15" customFormat="1" ht="51.6" customHeight="1" x14ac:dyDescent="0.55000000000000004">
      <c r="A37"/>
      <c r="B37" s="1"/>
      <c r="C37"/>
      <c r="D37" s="2"/>
      <c r="E37" s="5" t="s">
        <v>3</v>
      </c>
      <c r="F37" s="6" t="s">
        <v>4</v>
      </c>
      <c r="G37" s="6"/>
      <c r="H37" s="6"/>
      <c r="I37" s="6"/>
      <c r="J37" s="6" t="s">
        <v>5</v>
      </c>
      <c r="K37" s="76" t="s">
        <v>6</v>
      </c>
      <c r="L37" s="76"/>
      <c r="M37" s="76" t="s">
        <v>7</v>
      </c>
      <c r="N37" s="76"/>
      <c r="O37" s="7" t="s">
        <v>8</v>
      </c>
      <c r="P37" s="7" t="s">
        <v>9</v>
      </c>
      <c r="Q37" s="7" t="s">
        <v>10</v>
      </c>
      <c r="R37" s="77" t="s">
        <v>11</v>
      </c>
      <c r="S37" s="77"/>
      <c r="T37" s="8" t="s">
        <v>12</v>
      </c>
      <c r="U37" s="8" t="s">
        <v>13</v>
      </c>
      <c r="V37" s="9"/>
    </row>
    <row r="38" spans="1:22" s="15" customFormat="1" ht="115.2" x14ac:dyDescent="0.55000000000000004">
      <c r="A38" s="10" t="s">
        <v>14</v>
      </c>
      <c r="B38" s="11" t="s">
        <v>15</v>
      </c>
      <c r="C38" s="12"/>
      <c r="D38" s="10" t="s">
        <v>16</v>
      </c>
      <c r="E38" s="10" t="s">
        <v>17</v>
      </c>
      <c r="F38" s="10" t="s">
        <v>18</v>
      </c>
      <c r="G38" s="10" t="s">
        <v>19</v>
      </c>
      <c r="H38" s="10" t="s">
        <v>20</v>
      </c>
      <c r="I38" s="10" t="s">
        <v>21</v>
      </c>
      <c r="J38" s="13" t="s">
        <v>22</v>
      </c>
      <c r="K38" s="10" t="s">
        <v>19</v>
      </c>
      <c r="L38" s="10" t="s">
        <v>21</v>
      </c>
      <c r="M38" s="10" t="s">
        <v>23</v>
      </c>
      <c r="N38" s="10" t="s">
        <v>21</v>
      </c>
      <c r="O38" s="10" t="s">
        <v>24</v>
      </c>
      <c r="P38" s="14" t="s">
        <v>25</v>
      </c>
      <c r="Q38" s="10"/>
      <c r="R38" s="10" t="s">
        <v>19</v>
      </c>
      <c r="S38" s="10" t="s">
        <v>21</v>
      </c>
      <c r="T38" s="10"/>
      <c r="U38" s="10"/>
      <c r="V38" s="10" t="s">
        <v>26</v>
      </c>
    </row>
    <row r="39" spans="1:22" ht="21" x14ac:dyDescent="0.4">
      <c r="A39" s="27"/>
      <c r="B39" s="59" t="s">
        <v>27</v>
      </c>
      <c r="C39" s="20" t="s">
        <v>28</v>
      </c>
      <c r="D39" s="20" t="s">
        <v>105</v>
      </c>
      <c r="E39" s="20"/>
      <c r="F39" s="20" t="s">
        <v>150</v>
      </c>
      <c r="G39" s="20"/>
      <c r="H39" s="20" t="s">
        <v>150</v>
      </c>
      <c r="I39" s="20"/>
      <c r="J39" s="19">
        <f>'[1]Vedlegg X. Alternativsmatrise'!H36</f>
        <v>2</v>
      </c>
      <c r="K39" s="20"/>
      <c r="L39" s="20"/>
      <c r="M39" s="20"/>
      <c r="N39" s="20"/>
      <c r="O39" s="20"/>
      <c r="P39" s="21">
        <f>'[1]Vedlegg X. Alternativsmatrise'!K36</f>
        <v>0</v>
      </c>
      <c r="Q39" s="20"/>
      <c r="R39" s="20"/>
      <c r="S39" s="20"/>
      <c r="T39" s="20"/>
      <c r="U39" s="20"/>
      <c r="V39" s="20"/>
    </row>
    <row r="40" spans="1:22" ht="31.2" x14ac:dyDescent="0.6">
      <c r="A40" s="60" t="s">
        <v>41</v>
      </c>
      <c r="B40" s="59" t="s">
        <v>27</v>
      </c>
      <c r="C40" s="20" t="s">
        <v>30</v>
      </c>
      <c r="D40" s="20" t="s">
        <v>94</v>
      </c>
      <c r="E40" s="20"/>
      <c r="F40" s="20" t="s">
        <v>151</v>
      </c>
      <c r="G40" s="20">
        <v>0</v>
      </c>
      <c r="H40" s="20" t="s">
        <v>152</v>
      </c>
      <c r="I40" s="20">
        <v>50</v>
      </c>
      <c r="J40" s="19">
        <f>'[1]Vedlegg X. Alternativsmatrise'!H37</f>
        <v>1</v>
      </c>
      <c r="K40" s="20">
        <v>15000</v>
      </c>
      <c r="L40" s="20">
        <v>30000</v>
      </c>
      <c r="M40" s="20">
        <f t="shared" ref="M40" si="15">G40*K40</f>
        <v>0</v>
      </c>
      <c r="N40" s="20">
        <f t="shared" ref="N40" si="16">L40*I40</f>
        <v>1500000</v>
      </c>
      <c r="O40" s="20">
        <f>'[1]Vedlegg 1. Grunndata bhg'!$AL$44+'[1]Vedlegg 1. Grunndata bhg'!$AM$44+'[1]Vedlegg 1. Grunndata bhg'!$AI$44*'[1]Vedlegg 1. Grunndata bhg'!$Y$44</f>
        <v>3311408</v>
      </c>
      <c r="P40" s="21">
        <f>'[1]Vedlegg X. Alternativsmatrise'!K37</f>
        <v>1</v>
      </c>
      <c r="Q40" s="20">
        <f>O40*0.1*P40</f>
        <v>331140.80000000005</v>
      </c>
      <c r="R40" s="20">
        <f t="shared" ref="R40" si="17">M40/Q40</f>
        <v>0</v>
      </c>
      <c r="S40" s="20">
        <f t="shared" ref="S40" si="18">N40/Q40</f>
        <v>4.5297951807811048</v>
      </c>
      <c r="T40" s="20"/>
      <c r="U40" s="20"/>
      <c r="V40" s="20"/>
    </row>
    <row r="41" spans="1:22" ht="21" x14ac:dyDescent="0.4">
      <c r="A41" s="27"/>
      <c r="B41" s="61" t="s">
        <v>27</v>
      </c>
      <c r="C41" s="20" t="s">
        <v>28</v>
      </c>
      <c r="D41" s="20" t="s">
        <v>106</v>
      </c>
      <c r="E41" s="20"/>
      <c r="F41" s="20" t="s">
        <v>150</v>
      </c>
      <c r="G41" s="20">
        <v>0</v>
      </c>
      <c r="H41" s="20" t="s">
        <v>150</v>
      </c>
      <c r="I41" s="20"/>
      <c r="J41" s="19">
        <f>'[1]Vedlegg X. Alternativsmatrise'!H38</f>
        <v>1</v>
      </c>
      <c r="K41" s="20"/>
      <c r="L41" s="20"/>
      <c r="M41" s="20"/>
      <c r="N41" s="20"/>
      <c r="O41" s="20"/>
      <c r="P41" s="21">
        <f>'[1]Vedlegg X. Alternativsmatrise'!K38</f>
        <v>0</v>
      </c>
      <c r="Q41" s="20"/>
      <c r="R41" s="20"/>
      <c r="S41" s="20"/>
      <c r="T41" s="20"/>
      <c r="U41" s="20"/>
      <c r="V41" s="20"/>
    </row>
    <row r="42" spans="1:22" s="62" customFormat="1" ht="39" x14ac:dyDescent="0.6">
      <c r="A42" s="60" t="s">
        <v>41</v>
      </c>
      <c r="B42" s="61" t="s">
        <v>27</v>
      </c>
      <c r="C42" s="20" t="s">
        <v>30</v>
      </c>
      <c r="D42" s="20" t="s">
        <v>73</v>
      </c>
      <c r="E42" s="20"/>
      <c r="F42" s="20" t="s">
        <v>153</v>
      </c>
      <c r="G42" s="20">
        <v>0</v>
      </c>
      <c r="H42" s="20" t="s">
        <v>154</v>
      </c>
      <c r="I42" s="20">
        <v>50</v>
      </c>
      <c r="J42" s="19">
        <f>'[1]Vedlegg X. Alternativsmatrise'!H39</f>
        <v>2</v>
      </c>
      <c r="K42" s="20">
        <v>5000</v>
      </c>
      <c r="L42" s="20">
        <v>15000</v>
      </c>
      <c r="M42" s="20">
        <f t="shared" ref="M42:M46" si="19">G42*K42</f>
        <v>0</v>
      </c>
      <c r="N42" s="20">
        <f t="shared" ref="N42:N48" si="20">L42*I42</f>
        <v>750000</v>
      </c>
      <c r="O42" s="20">
        <f>'[1]Vedlegg 1. Grunndata bhg'!AL8+'[1]Vedlegg 1. Grunndata bhg'!AM8+'[1]Vedlegg 1. Grunndata bhg'!AI8*'[1]Vedlegg 1. Grunndata bhg'!X8</f>
        <v>7710817</v>
      </c>
      <c r="P42" s="21">
        <f>'[1]Vedlegg X. Alternativsmatrise'!K39</f>
        <v>3</v>
      </c>
      <c r="Q42" s="20">
        <f>O42*0.1*P42</f>
        <v>2313245.1</v>
      </c>
      <c r="R42" s="20">
        <f t="shared" ref="R42:R43" si="21">M42/Q42</f>
        <v>0</v>
      </c>
      <c r="S42" s="20">
        <f t="shared" ref="S42:S43" si="22">N42/Q42</f>
        <v>0.32421985893323624</v>
      </c>
      <c r="T42" s="20"/>
      <c r="U42" s="20"/>
      <c r="V42" s="20"/>
    </row>
    <row r="43" spans="1:22" ht="31.2" x14ac:dyDescent="0.6">
      <c r="A43" s="63" t="s">
        <v>54</v>
      </c>
      <c r="B43" s="61" t="s">
        <v>27</v>
      </c>
      <c r="C43" s="20" t="s">
        <v>32</v>
      </c>
      <c r="D43" s="20" t="s">
        <v>107</v>
      </c>
      <c r="E43" s="20"/>
      <c r="F43" s="20" t="s">
        <v>155</v>
      </c>
      <c r="G43" s="20">
        <v>500</v>
      </c>
      <c r="H43" s="20" t="s">
        <v>156</v>
      </c>
      <c r="I43" s="20">
        <v>1500</v>
      </c>
      <c r="J43" s="19">
        <f>'[1]Vedlegg X. Alternativsmatrise'!H40</f>
        <v>3</v>
      </c>
      <c r="K43" s="20">
        <v>5000</v>
      </c>
      <c r="L43" s="20">
        <v>5000</v>
      </c>
      <c r="M43" s="20">
        <f t="shared" si="19"/>
        <v>2500000</v>
      </c>
      <c r="N43" s="20">
        <f t="shared" si="20"/>
        <v>7500000</v>
      </c>
      <c r="O43" s="20">
        <f>'[1]Vedlegg 1. Grunndata bhg'!X45*'[1]Vedlegg 1. Grunndata bhg'!AI45+'[1]Vedlegg 1. Grunndata bhg'!AL45+'[1]Vedlegg 1. Grunndata bhg'!AM45</f>
        <v>13557559</v>
      </c>
      <c r="P43" s="21">
        <f>'[1]Vedlegg X. Alternativsmatrise'!K40</f>
        <v>3</v>
      </c>
      <c r="Q43" s="20">
        <f>O43*0.1*P43</f>
        <v>4067267.7</v>
      </c>
      <c r="R43" s="20">
        <f t="shared" si="21"/>
        <v>0.61466325415462564</v>
      </c>
      <c r="S43" s="20">
        <f t="shared" si="22"/>
        <v>1.843989762463877</v>
      </c>
      <c r="T43" s="20"/>
      <c r="U43" s="20"/>
      <c r="V43" s="20"/>
    </row>
    <row r="44" spans="1:22" ht="36.6" x14ac:dyDescent="0.4">
      <c r="A44" s="27"/>
      <c r="B44" s="64"/>
      <c r="C44" s="20" t="s">
        <v>28</v>
      </c>
      <c r="D44" s="20" t="s">
        <v>108</v>
      </c>
      <c r="E44" s="20">
        <f>'[1]Vedlegg 1. Grunndata bhg'!$X$16+'[1]Vedlegg 1. Grunndata bhg'!$X$17+'[1]Vedlegg 1. Grunndata bhg'!$X$15</f>
        <v>665</v>
      </c>
      <c r="F44" s="20" t="s">
        <v>157</v>
      </c>
      <c r="G44" s="20">
        <f>E44*0.8</f>
        <v>532</v>
      </c>
      <c r="H44" s="20" t="s">
        <v>157</v>
      </c>
      <c r="I44" s="20">
        <f>E44</f>
        <v>665</v>
      </c>
      <c r="J44" s="19">
        <f>'[1]Vedlegg X. Alternativsmatrise'!H41</f>
        <v>1</v>
      </c>
      <c r="K44" s="20">
        <v>15000</v>
      </c>
      <c r="L44" s="20">
        <v>30000</v>
      </c>
      <c r="M44" s="20">
        <f t="shared" si="19"/>
        <v>7980000</v>
      </c>
      <c r="N44" s="20">
        <f t="shared" si="20"/>
        <v>19950000</v>
      </c>
      <c r="O44" s="20"/>
      <c r="P44" s="21">
        <f>'[1]Vedlegg X. Alternativsmatrise'!K41</f>
        <v>0</v>
      </c>
      <c r="Q44" s="20"/>
      <c r="R44" s="20"/>
      <c r="S44" s="20"/>
      <c r="T44" s="20"/>
      <c r="U44" s="20"/>
      <c r="V44" s="20"/>
    </row>
    <row r="45" spans="1:22" ht="57" x14ac:dyDescent="0.6">
      <c r="A45" s="63" t="s">
        <v>54</v>
      </c>
      <c r="B45" s="64" t="s">
        <v>74</v>
      </c>
      <c r="C45" s="20" t="s">
        <v>30</v>
      </c>
      <c r="D45" s="20" t="s">
        <v>109</v>
      </c>
      <c r="E45" s="20"/>
      <c r="F45" s="20" t="s">
        <v>75</v>
      </c>
      <c r="G45" s="20">
        <v>0</v>
      </c>
      <c r="H45" s="20" t="s">
        <v>158</v>
      </c>
      <c r="I45" s="20">
        <v>50</v>
      </c>
      <c r="J45" s="19">
        <f>'[1]Vedlegg X. Alternativsmatrise'!H42</f>
        <v>2</v>
      </c>
      <c r="K45" s="20">
        <v>5000</v>
      </c>
      <c r="L45" s="20">
        <v>15000</v>
      </c>
      <c r="M45" s="20">
        <f t="shared" si="19"/>
        <v>0</v>
      </c>
      <c r="N45" s="20">
        <f t="shared" si="20"/>
        <v>750000</v>
      </c>
      <c r="O45" s="20">
        <f>'[1]Vedlegg 1. Grunndata bhg'!W54*'[1]Vedlegg 1. Grunndata bhg'!AI54+'[1]Vedlegg 1. Grunndata bhg'!AL54+'[1]Vedlegg 1. Grunndata bhg'!AM54</f>
        <v>8480187</v>
      </c>
      <c r="P45" s="21">
        <f>'[1]Vedlegg X. Alternativsmatrise'!K42</f>
        <v>1</v>
      </c>
      <c r="Q45" s="20">
        <f>O45*0.1*P45</f>
        <v>848018.70000000007</v>
      </c>
      <c r="R45" s="20">
        <f t="shared" ref="R45:R46" si="23">M45/Q45</f>
        <v>0</v>
      </c>
      <c r="S45" s="20">
        <f t="shared" ref="S45:S46" si="24">N45/Q45</f>
        <v>0.88441445925661777</v>
      </c>
      <c r="T45" s="20" t="s">
        <v>76</v>
      </c>
      <c r="U45" s="20" t="s">
        <v>76</v>
      </c>
      <c r="V45" s="20" t="s">
        <v>180</v>
      </c>
    </row>
    <row r="46" spans="1:22" ht="57" x14ac:dyDescent="0.6">
      <c r="A46" s="63" t="s">
        <v>41</v>
      </c>
      <c r="B46" s="64" t="s">
        <v>77</v>
      </c>
      <c r="C46" s="20" t="s">
        <v>32</v>
      </c>
      <c r="D46" s="20" t="s">
        <v>78</v>
      </c>
      <c r="E46" s="20"/>
      <c r="F46" s="20" t="s">
        <v>79</v>
      </c>
      <c r="G46" s="20">
        <v>0</v>
      </c>
      <c r="H46" s="20" t="s">
        <v>79</v>
      </c>
      <c r="I46" s="20">
        <v>50</v>
      </c>
      <c r="J46" s="19">
        <f>'[1]Vedlegg X. Alternativsmatrise'!H43</f>
        <v>3</v>
      </c>
      <c r="K46" s="20">
        <v>5000</v>
      </c>
      <c r="L46" s="20">
        <v>5000</v>
      </c>
      <c r="M46" s="20">
        <f t="shared" si="19"/>
        <v>0</v>
      </c>
      <c r="N46" s="20">
        <f t="shared" si="20"/>
        <v>250000</v>
      </c>
      <c r="O46" s="20">
        <f>'[1]Vedlegg 1. Grunndata bhg'!$AM$10+'[1]Vedlegg 1. Grunndata bhg'!$AL$10+'[1]Vedlegg 1. Grunndata bhg'!$AI$10*('[1]Vedlegg 1. Grunndata bhg'!$X$10+'[1]Vedlegg 1. Grunndata bhg'!$X$11)</f>
        <v>9854628</v>
      </c>
      <c r="P46" s="21">
        <f>'[1]Vedlegg X. Alternativsmatrise'!K43</f>
        <v>2</v>
      </c>
      <c r="Q46" s="20">
        <f>O46*0.1*P46</f>
        <v>1970925.6</v>
      </c>
      <c r="R46" s="20">
        <f t="shared" si="23"/>
        <v>0</v>
      </c>
      <c r="S46" s="20">
        <f t="shared" si="24"/>
        <v>0.12684395595653128</v>
      </c>
      <c r="T46" s="20">
        <f>'[1]Verdivurdering av Tomt og byggV'!F42+'[1]Verdivurdering av Tomt og byggV'!F43</f>
        <v>1758000</v>
      </c>
      <c r="U46" s="20">
        <f>'[1]Verdivurdering av Tomt og byggV'!E43+'[1]Verdivurdering av Tomt og byggV'!E42</f>
        <v>3570000</v>
      </c>
      <c r="V46" s="20"/>
    </row>
    <row r="47" spans="1:22" ht="36.6" x14ac:dyDescent="0.4">
      <c r="A47" s="27"/>
      <c r="B47" s="65" t="s">
        <v>60</v>
      </c>
      <c r="C47" s="20" t="s">
        <v>28</v>
      </c>
      <c r="D47" s="20" t="s">
        <v>80</v>
      </c>
      <c r="E47" s="20">
        <v>300</v>
      </c>
      <c r="F47" s="20" t="s">
        <v>81</v>
      </c>
      <c r="G47" s="20">
        <f>E47*0.5</f>
        <v>150</v>
      </c>
      <c r="H47" s="20" t="s">
        <v>82</v>
      </c>
      <c r="I47" s="20">
        <f>E47</f>
        <v>300</v>
      </c>
      <c r="J47" s="19">
        <f>'[1]Vedlegg X. Alternativsmatrise'!H44</f>
        <v>1</v>
      </c>
      <c r="K47" s="20">
        <v>15000</v>
      </c>
      <c r="L47" s="20">
        <v>30000</v>
      </c>
      <c r="M47" s="20">
        <f>G47*K47</f>
        <v>2250000</v>
      </c>
      <c r="N47" s="20">
        <f t="shared" si="20"/>
        <v>9000000</v>
      </c>
      <c r="O47" s="20"/>
      <c r="P47" s="21">
        <f>'[1]Vedlegg X. Alternativsmatrise'!K44</f>
        <v>0</v>
      </c>
      <c r="Q47" s="20"/>
      <c r="R47" s="20"/>
      <c r="S47" s="20"/>
      <c r="T47" s="20"/>
      <c r="U47" s="20"/>
      <c r="V47" s="20"/>
    </row>
    <row r="48" spans="1:22" ht="39" x14ac:dyDescent="0.6">
      <c r="A48" s="63" t="s">
        <v>54</v>
      </c>
      <c r="B48" s="65" t="s">
        <v>60</v>
      </c>
      <c r="C48" s="20" t="s">
        <v>83</v>
      </c>
      <c r="D48" s="20" t="s">
        <v>95</v>
      </c>
      <c r="E48" s="20"/>
      <c r="F48" s="20" t="s">
        <v>159</v>
      </c>
      <c r="G48" s="20"/>
      <c r="H48" s="20" t="s">
        <v>160</v>
      </c>
      <c r="I48" s="20">
        <v>100</v>
      </c>
      <c r="J48" s="19">
        <f>'[1]Vedlegg X. Alternativsmatrise'!H45</f>
        <v>3</v>
      </c>
      <c r="K48" s="20">
        <v>5000</v>
      </c>
      <c r="L48" s="20">
        <v>5000</v>
      </c>
      <c r="M48" s="20">
        <f t="shared" ref="M48" si="25">G48*K48</f>
        <v>0</v>
      </c>
      <c r="N48" s="20">
        <f t="shared" si="20"/>
        <v>500000</v>
      </c>
      <c r="O48" s="20"/>
      <c r="P48" s="21">
        <f>'[1]Vedlegg X. Alternativsmatrise'!K45</f>
        <v>1</v>
      </c>
      <c r="Q48" s="20"/>
      <c r="R48" s="20"/>
      <c r="S48" s="20"/>
      <c r="T48" s="20"/>
      <c r="U48" s="20"/>
      <c r="V48" s="20"/>
    </row>
    <row r="50" spans="1:21" x14ac:dyDescent="0.5">
      <c r="D50"/>
      <c r="E50"/>
      <c r="F50" s="48"/>
    </row>
    <row r="52" spans="1:21" ht="61.2" x14ac:dyDescent="1.1000000000000001">
      <c r="K52" s="67" t="s">
        <v>84</v>
      </c>
      <c r="Q52" s="67" t="s">
        <v>85</v>
      </c>
    </row>
    <row r="53" spans="1:21" ht="28.8" x14ac:dyDescent="0.55000000000000004">
      <c r="K53" s="68" t="s">
        <v>41</v>
      </c>
      <c r="L53" s="50"/>
      <c r="M53" s="69">
        <f>M10+M14+M16+M24+M28+M40+M42+M46</f>
        <v>28835000</v>
      </c>
      <c r="N53" s="69">
        <f>N10+N14+N16+N24+N28+N40+N42+N46+N48</f>
        <v>124995000</v>
      </c>
      <c r="O53" s="53"/>
      <c r="Q53" s="69">
        <f>Q10+Q14+Q16+Q24+Q28+Q40+Q42+Q46</f>
        <v>18878578.100000005</v>
      </c>
      <c r="R53" s="70">
        <f>M53/Q53</f>
        <v>1.5273925741261198</v>
      </c>
      <c r="S53" s="70">
        <f>N53/Q53</f>
        <v>6.6209965251567313</v>
      </c>
      <c r="T53" s="71"/>
      <c r="U53" s="71"/>
    </row>
    <row r="54" spans="1:21" ht="28.8" x14ac:dyDescent="0.55000000000000004">
      <c r="K54" s="68" t="s">
        <v>54</v>
      </c>
      <c r="L54" s="50"/>
      <c r="M54" s="69">
        <f>M18+M20+M30+M33+M43+M45</f>
        <v>35132500</v>
      </c>
      <c r="N54" s="69">
        <f>N18+N20+N30+N33+N43+N45+N48</f>
        <v>124045000</v>
      </c>
      <c r="O54" s="53"/>
      <c r="Q54" s="69">
        <f>Q18+Q20+Q30+Q33+Q43+Q45</f>
        <v>20625302.600000001</v>
      </c>
      <c r="R54" s="70">
        <f>M54/Q54</f>
        <v>1.7033689483906043</v>
      </c>
      <c r="S54" s="70">
        <f>N54/Q54</f>
        <v>6.0142147926595753</v>
      </c>
      <c r="T54" s="71"/>
      <c r="U54" s="71"/>
    </row>
    <row r="55" spans="1:21" ht="28.8" x14ac:dyDescent="0.55000000000000004">
      <c r="K55" s="68" t="s">
        <v>58</v>
      </c>
      <c r="L55" s="50"/>
      <c r="M55" s="69">
        <f>M22</f>
        <v>95490000</v>
      </c>
      <c r="N55" s="69">
        <f>N22</f>
        <v>286470000</v>
      </c>
      <c r="O55" s="53"/>
      <c r="Q55" s="69">
        <f>Q22</f>
        <v>11983359.600000001</v>
      </c>
      <c r="R55" s="70">
        <f>M55/Q55</f>
        <v>7.9685499882687312</v>
      </c>
      <c r="S55" s="70">
        <f>N55/Q55</f>
        <v>23.905649964806194</v>
      </c>
      <c r="T55" s="71"/>
      <c r="U55" s="71"/>
    </row>
    <row r="56" spans="1:21" x14ac:dyDescent="0.5">
      <c r="A56" s="47"/>
      <c r="B56" s="47"/>
      <c r="C56" s="47"/>
      <c r="D56" s="47"/>
    </row>
    <row r="57" spans="1:21" x14ac:dyDescent="0.5">
      <c r="A57" s="47"/>
      <c r="B57" s="47"/>
      <c r="C57" s="47"/>
      <c r="D57" s="47"/>
    </row>
    <row r="58" spans="1:21" x14ac:dyDescent="0.5">
      <c r="A58" s="47"/>
      <c r="B58" s="47"/>
      <c r="C58" s="47"/>
      <c r="D58" s="47"/>
    </row>
    <row r="59" spans="1:21" x14ac:dyDescent="0.5">
      <c r="A59" s="47"/>
      <c r="B59" s="47"/>
      <c r="C59" s="47"/>
      <c r="D59" s="47"/>
    </row>
    <row r="60" spans="1:21" ht="152.25" customHeight="1" x14ac:dyDescent="0.5">
      <c r="A60" s="47"/>
      <c r="B60" s="47"/>
      <c r="C60" s="47"/>
      <c r="D60" s="47"/>
    </row>
    <row r="61" spans="1:21" x14ac:dyDescent="0.5">
      <c r="A61" s="47"/>
      <c r="B61" s="47"/>
      <c r="C61" s="47"/>
      <c r="D61" s="47"/>
    </row>
    <row r="62" spans="1:21" x14ac:dyDescent="0.5">
      <c r="A62" s="47"/>
      <c r="B62" s="47"/>
      <c r="C62" s="47"/>
      <c r="D62" s="47"/>
    </row>
    <row r="63" spans="1:21" x14ac:dyDescent="0.5">
      <c r="A63" s="47"/>
      <c r="B63" s="47"/>
      <c r="C63" s="47"/>
      <c r="D63" s="47"/>
    </row>
    <row r="64" spans="1:21" x14ac:dyDescent="0.5">
      <c r="A64" s="47"/>
      <c r="B64" s="47"/>
      <c r="C64" s="47"/>
      <c r="D64" s="47"/>
    </row>
    <row r="65" spans="1:4" x14ac:dyDescent="0.5">
      <c r="A65" s="47"/>
      <c r="B65" s="47"/>
      <c r="C65" s="47"/>
      <c r="D65" s="47"/>
    </row>
    <row r="66" spans="1:4" x14ac:dyDescent="0.5">
      <c r="A66" s="47"/>
      <c r="B66" s="47"/>
      <c r="C66" s="47"/>
      <c r="D66" s="47"/>
    </row>
    <row r="67" spans="1:4" x14ac:dyDescent="0.5">
      <c r="A67" s="47"/>
      <c r="B67" s="47"/>
      <c r="C67" s="47"/>
      <c r="D67" s="47"/>
    </row>
    <row r="68" spans="1:4" x14ac:dyDescent="0.5">
      <c r="A68" s="47"/>
      <c r="B68" s="47"/>
      <c r="C68" s="47"/>
      <c r="D68" s="47"/>
    </row>
    <row r="69" spans="1:4" x14ac:dyDescent="0.5">
      <c r="A69" s="47"/>
      <c r="B69" s="47"/>
      <c r="C69" s="47"/>
      <c r="D69" s="47"/>
    </row>
    <row r="70" spans="1:4" ht="90.75" customHeight="1" x14ac:dyDescent="0.5">
      <c r="A70" s="47"/>
      <c r="B70" s="47"/>
      <c r="C70" s="47"/>
      <c r="D70" s="47"/>
    </row>
    <row r="71" spans="1:4" x14ac:dyDescent="0.5">
      <c r="A71" s="47"/>
      <c r="B71" s="47"/>
      <c r="C71" s="47"/>
      <c r="D71" s="47"/>
    </row>
    <row r="72" spans="1:4" x14ac:dyDescent="0.5">
      <c r="A72" s="47"/>
      <c r="B72" s="47"/>
      <c r="C72" s="47"/>
      <c r="D72" s="47"/>
    </row>
    <row r="73" spans="1:4" x14ac:dyDescent="0.5">
      <c r="A73" s="47"/>
      <c r="B73" s="47"/>
      <c r="C73" s="47"/>
      <c r="D73" s="47"/>
    </row>
    <row r="74" spans="1:4" x14ac:dyDescent="0.5">
      <c r="A74" s="47"/>
      <c r="B74" s="47"/>
      <c r="C74" s="47"/>
      <c r="D74" s="47"/>
    </row>
    <row r="75" spans="1:4" x14ac:dyDescent="0.5">
      <c r="A75" s="47"/>
      <c r="B75" s="47"/>
      <c r="C75" s="47"/>
      <c r="D75" s="47"/>
    </row>
    <row r="76" spans="1:4" x14ac:dyDescent="0.5">
      <c r="A76" s="47"/>
      <c r="B76" s="47"/>
      <c r="C76" s="47"/>
      <c r="D76" s="47"/>
    </row>
    <row r="77" spans="1:4" x14ac:dyDescent="0.5">
      <c r="A77" s="47"/>
      <c r="B77" s="47"/>
      <c r="C77" s="47"/>
      <c r="D77" s="47"/>
    </row>
    <row r="78" spans="1:4" x14ac:dyDescent="0.5">
      <c r="A78" s="47"/>
      <c r="B78" s="47"/>
      <c r="C78" s="47"/>
      <c r="D78" s="47"/>
    </row>
  </sheetData>
  <mergeCells count="12">
    <mergeCell ref="F2:N2"/>
    <mergeCell ref="O2:S2"/>
    <mergeCell ref="T2:U2"/>
    <mergeCell ref="K3:L3"/>
    <mergeCell ref="M3:N3"/>
    <mergeCell ref="R3:S3"/>
    <mergeCell ref="F36:N36"/>
    <mergeCell ref="O36:S36"/>
    <mergeCell ref="T36:U36"/>
    <mergeCell ref="K37:L37"/>
    <mergeCell ref="M37:N37"/>
    <mergeCell ref="R37:S3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604AC55CF44A45B379E1E22005C59B" ma:contentTypeVersion="6" ma:contentTypeDescription="Opprett et nytt dokument." ma:contentTypeScope="" ma:versionID="ffc63ba04509cc70b5847cdf76c3b011">
  <xsd:schema xmlns:xsd="http://www.w3.org/2001/XMLSchema" xmlns:xs="http://www.w3.org/2001/XMLSchema" xmlns:p="http://schemas.microsoft.com/office/2006/metadata/properties" xmlns:ns2="2ae80dfe-475d-4848-9bba-625001d85912" xmlns:ns3="9b7497e0-8084-4dd0-a29b-5096955fb75b" targetNamespace="http://schemas.microsoft.com/office/2006/metadata/properties" ma:root="true" ma:fieldsID="c00266efb0fb6218b639722c58b37bb0" ns2:_="" ns3:_="">
    <xsd:import namespace="2ae80dfe-475d-4848-9bba-625001d85912"/>
    <xsd:import namespace="9b7497e0-8084-4dd0-a29b-5096955fb7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80dfe-475d-4848-9bba-625001d85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497e0-8084-4dd0-a29b-5096955fb7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26A268-6548-40F2-9348-68306755F1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ECE9E-CCBB-4AE9-B193-85AB8D00A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80dfe-475d-4848-9bba-625001d85912"/>
    <ds:schemaRef ds:uri="9b7497e0-8084-4dd0-a29b-5096955fb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1F05AA-3379-423A-B7D7-225107C6DFD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2ae80dfe-475d-4848-9bba-625001d85912"/>
    <ds:schemaRef ds:uri="http://schemas.openxmlformats.org/package/2006/metadata/core-properties"/>
    <ds:schemaRef ds:uri="9b7497e0-8084-4dd0-a29b-5096955fb7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7.4 Økonomiske konsekvenser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Harald Sæverud</dc:creator>
  <cp:keywords/>
  <dc:description/>
  <cp:lastModifiedBy>Jan Ove Tangstad</cp:lastModifiedBy>
  <cp:revision/>
  <dcterms:created xsi:type="dcterms:W3CDTF">2022-01-18T12:40:54Z</dcterms:created>
  <dcterms:modified xsi:type="dcterms:W3CDTF">2022-01-19T10:27:55Z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0x0101007D604AC55CF44A45B379E1E22005C59B</vt:lpwstr>
  </property>
</Properties>
</file>