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6216\Desktop\"/>
    </mc:Choice>
  </mc:AlternateContent>
  <bookViews>
    <workbookView xWindow="4905" yWindow="2490" windowWidth="27000" windowHeight="14010" firstSheet="1" activeTab="4"/>
  </bookViews>
  <sheets>
    <sheet name="Driftsramme tjenesteproduksjon" sheetId="10" r:id="rId1"/>
    <sheet name="Fordeling driftsramme" sheetId="11" r:id="rId2"/>
    <sheet name="Driftsbudsjett endringer" sheetId="12" r:id="rId3"/>
    <sheet name="Tidligere vedtatte endringer" sheetId="16" r:id="rId4"/>
    <sheet name="Spesifiserte behov og rammered." sheetId="13" r:id="rId5"/>
    <sheet name="Investeringsplan" sheetId="17" r:id="rId6"/>
    <sheet name="Uprioriterte investeringsprosje" sheetId="18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4" i="17" l="1"/>
  <c r="J134" i="17"/>
  <c r="I134" i="17"/>
  <c r="H134" i="17"/>
  <c r="G134" i="17"/>
  <c r="J85" i="17"/>
  <c r="I85" i="17"/>
  <c r="H85" i="17"/>
  <c r="G85" i="17"/>
  <c r="K81" i="17"/>
  <c r="K85" i="17" s="1"/>
  <c r="K72" i="17"/>
  <c r="J72" i="17"/>
  <c r="I72" i="17"/>
  <c r="H72" i="17"/>
  <c r="G72" i="17"/>
  <c r="J54" i="17"/>
  <c r="I54" i="17"/>
  <c r="H54" i="17"/>
  <c r="G54" i="17"/>
  <c r="K36" i="17"/>
  <c r="K34" i="17"/>
  <c r="K54" i="17" s="1"/>
  <c r="K22" i="17"/>
  <c r="J22" i="17"/>
  <c r="I22" i="17"/>
  <c r="H22" i="17"/>
  <c r="G22" i="17"/>
  <c r="K13" i="17"/>
  <c r="J13" i="17"/>
  <c r="I13" i="17"/>
  <c r="H13" i="17"/>
  <c r="G13" i="17"/>
  <c r="K5" i="17"/>
  <c r="J5" i="17"/>
  <c r="I5" i="17"/>
  <c r="H5" i="17"/>
  <c r="C73" i="16" l="1"/>
  <c r="F111" i="16" l="1"/>
  <c r="E111" i="16"/>
  <c r="D111" i="16"/>
  <c r="C111" i="16"/>
  <c r="F98" i="16"/>
  <c r="F102" i="16" s="1"/>
  <c r="E98" i="16"/>
  <c r="E102" i="16" s="1"/>
  <c r="D98" i="16"/>
  <c r="D102" i="16" s="1"/>
  <c r="C98" i="16"/>
  <c r="C102" i="16" s="1"/>
  <c r="F94" i="16"/>
  <c r="E94" i="16"/>
  <c r="D94" i="16"/>
  <c r="C94" i="16"/>
  <c r="F73" i="16"/>
  <c r="E73" i="16"/>
  <c r="D73" i="16"/>
  <c r="F29" i="16"/>
  <c r="F33" i="16" s="1"/>
  <c r="E29" i="16"/>
  <c r="E33" i="16" s="1"/>
  <c r="D29" i="16"/>
  <c r="D33" i="16" s="1"/>
  <c r="C29" i="16"/>
  <c r="C33" i="16" s="1"/>
  <c r="F26" i="16"/>
  <c r="E26" i="16"/>
  <c r="D26" i="16"/>
  <c r="C26" i="16"/>
  <c r="F22" i="16"/>
  <c r="E22" i="16"/>
  <c r="D22" i="16"/>
  <c r="C22" i="16"/>
  <c r="C137" i="13"/>
  <c r="D137" i="13" l="1"/>
  <c r="F137" i="13"/>
  <c r="E137" i="13"/>
  <c r="C43" i="12" l="1"/>
  <c r="F126" i="13" l="1"/>
  <c r="E126" i="13"/>
  <c r="D126" i="13"/>
  <c r="C126" i="13"/>
  <c r="F58" i="12" l="1"/>
  <c r="E58" i="12"/>
  <c r="D58" i="12"/>
  <c r="C58" i="12"/>
  <c r="D61" i="10" l="1"/>
  <c r="D62" i="10"/>
  <c r="C61" i="10"/>
  <c r="D87" i="12"/>
  <c r="D63" i="10" l="1"/>
  <c r="D7" i="13"/>
  <c r="E7" i="13"/>
  <c r="F7" i="13"/>
  <c r="C7" i="13"/>
  <c r="D17" i="13"/>
  <c r="E17" i="13"/>
  <c r="F17" i="13"/>
  <c r="C17" i="13"/>
  <c r="G24" i="11"/>
  <c r="F24" i="11"/>
  <c r="E24" i="11"/>
  <c r="D24" i="11"/>
  <c r="G13" i="11"/>
  <c r="F13" i="11"/>
  <c r="E13" i="11"/>
  <c r="D13" i="11"/>
  <c r="C13" i="11"/>
  <c r="D95" i="13" l="1"/>
  <c r="D96" i="13" s="1"/>
  <c r="E95" i="13"/>
  <c r="E96" i="13" s="1"/>
  <c r="F95" i="13"/>
  <c r="F96" i="13" s="1"/>
  <c r="C95" i="13"/>
  <c r="C96" i="13" s="1"/>
  <c r="F72" i="12" l="1"/>
  <c r="E72" i="12"/>
  <c r="D72" i="12"/>
  <c r="C72" i="12"/>
  <c r="C106" i="12" l="1"/>
  <c r="D106" i="12"/>
  <c r="E90" i="12" l="1"/>
  <c r="F90" i="12"/>
  <c r="C90" i="12"/>
  <c r="C49" i="10" l="1"/>
  <c r="D49" i="10"/>
  <c r="E49" i="10"/>
  <c r="F49" i="10"/>
  <c r="G49" i="10"/>
  <c r="C42" i="10"/>
  <c r="D42" i="10"/>
  <c r="E42" i="10"/>
  <c r="F42" i="10"/>
  <c r="G42" i="10"/>
  <c r="C35" i="10"/>
  <c r="D35" i="10"/>
  <c r="E35" i="10"/>
  <c r="F35" i="10"/>
  <c r="G35" i="10"/>
  <c r="C28" i="10"/>
  <c r="D28" i="10"/>
  <c r="E28" i="10"/>
  <c r="F28" i="10"/>
  <c r="G28" i="10"/>
  <c r="C21" i="10"/>
  <c r="D21" i="10"/>
  <c r="E21" i="10"/>
  <c r="F21" i="10"/>
  <c r="G21" i="10"/>
  <c r="C14" i="10"/>
  <c r="D14" i="10"/>
  <c r="E14" i="10"/>
  <c r="F14" i="10"/>
  <c r="G14" i="10"/>
  <c r="D22" i="10" l="1"/>
  <c r="G36" i="10"/>
  <c r="D29" i="10"/>
  <c r="D43" i="10"/>
  <c r="G50" i="10"/>
  <c r="G29" i="10"/>
  <c r="F50" i="10"/>
  <c r="E50" i="10"/>
  <c r="F29" i="10"/>
  <c r="E29" i="10"/>
  <c r="D50" i="10"/>
  <c r="F43" i="10"/>
  <c r="G43" i="10"/>
  <c r="E43" i="10"/>
  <c r="F36" i="10"/>
  <c r="E36" i="10"/>
  <c r="D36" i="10"/>
  <c r="F22" i="10"/>
  <c r="G22" i="10"/>
  <c r="E22" i="10"/>
  <c r="F15" i="10"/>
  <c r="G15" i="10"/>
  <c r="E15" i="10"/>
  <c r="D15" i="10"/>
  <c r="D100" i="13"/>
  <c r="E100" i="13"/>
  <c r="F100" i="13"/>
  <c r="C100" i="13"/>
  <c r="C163" i="13" l="1"/>
  <c r="C108" i="12" s="1"/>
  <c r="D163" i="13"/>
  <c r="D108" i="12" s="1"/>
  <c r="E163" i="13"/>
  <c r="E108" i="12" s="1"/>
  <c r="F163" i="13"/>
  <c r="F108" i="12" s="1"/>
  <c r="D148" i="13"/>
  <c r="D92" i="12" s="1"/>
  <c r="E148" i="13"/>
  <c r="E92" i="12" s="1"/>
  <c r="F148" i="13"/>
  <c r="F92" i="12" s="1"/>
  <c r="C148" i="13"/>
  <c r="C92" i="12" s="1"/>
  <c r="F125" i="12" l="1"/>
  <c r="E125" i="12"/>
  <c r="D125" i="12"/>
  <c r="C125" i="12"/>
  <c r="G61" i="10" l="1"/>
  <c r="E61" i="10"/>
  <c r="D120" i="12"/>
  <c r="D126" i="12" s="1"/>
  <c r="C120" i="12"/>
  <c r="C126" i="12" s="1"/>
  <c r="F61" i="10" l="1"/>
  <c r="F120" i="12"/>
  <c r="F126" i="12" s="1"/>
  <c r="E120" i="12"/>
  <c r="E126" i="12" s="1"/>
  <c r="E88" i="11" l="1"/>
  <c r="C88" i="11"/>
  <c r="D88" i="11"/>
  <c r="F88" i="11"/>
  <c r="G88" i="11"/>
  <c r="F87" i="12" l="1"/>
  <c r="E87" i="12"/>
  <c r="C87" i="12"/>
  <c r="C62" i="10" l="1"/>
  <c r="C63" i="10" s="1"/>
  <c r="C56" i="10"/>
  <c r="F62" i="10"/>
  <c r="F63" i="10" s="1"/>
  <c r="F56" i="10"/>
  <c r="E56" i="10"/>
  <c r="E57" i="10" s="1"/>
  <c r="E62" i="10"/>
  <c r="E63" i="10" s="1"/>
  <c r="G62" i="10"/>
  <c r="G63" i="10" s="1"/>
  <c r="G56" i="10"/>
  <c r="D56" i="10"/>
  <c r="D53" i="12"/>
  <c r="E53" i="12"/>
  <c r="F53" i="12"/>
  <c r="C53" i="12"/>
  <c r="D57" i="10" l="1"/>
  <c r="G57" i="10"/>
  <c r="F57" i="10"/>
  <c r="C86" i="12" l="1"/>
  <c r="D86" i="12" s="1"/>
  <c r="E86" i="12" s="1"/>
  <c r="F86" i="12" s="1"/>
  <c r="D85" i="12"/>
  <c r="E85" i="12" s="1"/>
  <c r="F85" i="12" s="1"/>
  <c r="F106" i="12"/>
  <c r="E106" i="12"/>
  <c r="C103" i="12"/>
  <c r="C135" i="12" s="1"/>
  <c r="C101" i="12"/>
  <c r="F127" i="13" l="1"/>
  <c r="E127" i="13"/>
  <c r="D127" i="13"/>
  <c r="C127" i="13"/>
  <c r="E47" i="13" l="1"/>
  <c r="F47" i="13"/>
  <c r="D47" i="13"/>
  <c r="C47" i="13"/>
  <c r="C128" i="13" l="1"/>
  <c r="D128" i="13"/>
  <c r="E128" i="13"/>
  <c r="F128" i="13"/>
  <c r="F76" i="12" l="1"/>
  <c r="E76" i="12"/>
  <c r="D76" i="12"/>
  <c r="C76" i="12"/>
  <c r="C77" i="12" l="1"/>
  <c r="D77" i="12"/>
  <c r="E77" i="12"/>
  <c r="F77" i="12"/>
  <c r="C13" i="12"/>
  <c r="D13" i="12"/>
  <c r="E13" i="12"/>
  <c r="F13" i="12"/>
  <c r="F43" i="12" l="1"/>
  <c r="F138" i="12" s="1"/>
  <c r="E43" i="12"/>
  <c r="E138" i="12" s="1"/>
  <c r="E46" i="12" l="1"/>
  <c r="F46" i="12"/>
  <c r="E24" i="13"/>
  <c r="E26" i="13" s="1"/>
  <c r="F24" i="13"/>
  <c r="F26" i="13" s="1"/>
  <c r="D24" i="13"/>
  <c r="D26" i="13" s="1"/>
  <c r="C24" i="13"/>
  <c r="C26" i="13" s="1"/>
  <c r="C28" i="12"/>
  <c r="D28" i="12"/>
  <c r="E28" i="12"/>
  <c r="F28" i="12"/>
  <c r="D30" i="11"/>
  <c r="C30" i="11"/>
  <c r="G30" i="11"/>
  <c r="F30" i="11"/>
  <c r="E30" i="11"/>
  <c r="D103" i="12" l="1"/>
  <c r="D135" i="12" s="1"/>
  <c r="D101" i="12"/>
  <c r="E101" i="12" s="1"/>
  <c r="F101" i="12" s="1"/>
  <c r="D157" i="13"/>
  <c r="E157" i="13"/>
  <c r="F157" i="13"/>
  <c r="C157" i="13"/>
  <c r="C107" i="12" s="1"/>
  <c r="C102" i="12"/>
  <c r="D102" i="12" s="1"/>
  <c r="E102" i="12" s="1"/>
  <c r="F102" i="12" s="1"/>
  <c r="D107" i="12" l="1"/>
  <c r="C109" i="12"/>
  <c r="E107" i="12"/>
  <c r="F107" i="12"/>
  <c r="E103" i="12"/>
  <c r="E135" i="12" s="1"/>
  <c r="C91" i="12"/>
  <c r="F109" i="12" l="1"/>
  <c r="E109" i="12"/>
  <c r="D109" i="12"/>
  <c r="F103" i="12"/>
  <c r="F135" i="12" s="1"/>
  <c r="D91" i="12"/>
  <c r="D59" i="12"/>
  <c r="E59" i="12"/>
  <c r="F59" i="12"/>
  <c r="C59" i="12"/>
  <c r="C23" i="12"/>
  <c r="F7" i="10"/>
  <c r="E7" i="10"/>
  <c r="F164" i="13"/>
  <c r="E164" i="13"/>
  <c r="D164" i="13"/>
  <c r="C164" i="13"/>
  <c r="C149" i="13"/>
  <c r="F79" i="13"/>
  <c r="F80" i="13" s="1"/>
  <c r="E79" i="13"/>
  <c r="D79" i="13"/>
  <c r="C79" i="13"/>
  <c r="C80" i="13" s="1"/>
  <c r="C22" i="12"/>
  <c r="D22" i="12" s="1"/>
  <c r="E22" i="12" s="1"/>
  <c r="F22" i="12" s="1"/>
  <c r="G7" i="10"/>
  <c r="D7" i="10"/>
  <c r="D7" i="12"/>
  <c r="E7" i="12"/>
  <c r="F7" i="12"/>
  <c r="C7" i="12"/>
  <c r="C134" i="12" s="1"/>
  <c r="D6" i="12"/>
  <c r="E6" i="12"/>
  <c r="F6" i="12"/>
  <c r="C6" i="12"/>
  <c r="E133" i="12" l="1"/>
  <c r="D133" i="12"/>
  <c r="C133" i="12"/>
  <c r="C136" i="12" s="1"/>
  <c r="F133" i="12"/>
  <c r="D93" i="12"/>
  <c r="D149" i="13"/>
  <c r="C93" i="12"/>
  <c r="C9" i="12"/>
  <c r="C60" i="12"/>
  <c r="D60" i="12"/>
  <c r="D80" i="13"/>
  <c r="E60" i="12"/>
  <c r="E80" i="13"/>
  <c r="E91" i="12"/>
  <c r="E139" i="12" s="1"/>
  <c r="F12" i="12"/>
  <c r="F14" i="12" s="1"/>
  <c r="F9" i="13"/>
  <c r="E12" i="12"/>
  <c r="E14" i="12" s="1"/>
  <c r="E9" i="13"/>
  <c r="D12" i="12"/>
  <c r="D139" i="12" s="1"/>
  <c r="D9" i="13"/>
  <c r="C12" i="12"/>
  <c r="C139" i="12" s="1"/>
  <c r="C9" i="13"/>
  <c r="F60" i="12"/>
  <c r="C25" i="12"/>
  <c r="D23" i="12"/>
  <c r="D134" i="12" s="1"/>
  <c r="F18" i="13"/>
  <c r="E18" i="13"/>
  <c r="C18" i="13"/>
  <c r="E23" i="12" l="1"/>
  <c r="E134" i="12" s="1"/>
  <c r="D14" i="12"/>
  <c r="E149" i="13"/>
  <c r="F61" i="12"/>
  <c r="E61" i="12"/>
  <c r="C61" i="12"/>
  <c r="D61" i="12"/>
  <c r="C14" i="12"/>
  <c r="C15" i="12" s="1"/>
  <c r="D136" i="12"/>
  <c r="D29" i="12"/>
  <c r="D140" i="12" s="1"/>
  <c r="D18" i="13"/>
  <c r="C29" i="12"/>
  <c r="C140" i="12" s="1"/>
  <c r="E29" i="12"/>
  <c r="E30" i="12" s="1"/>
  <c r="F29" i="12"/>
  <c r="F30" i="12" s="1"/>
  <c r="F104" i="12"/>
  <c r="E104" i="12"/>
  <c r="D104" i="12"/>
  <c r="D110" i="12" s="1"/>
  <c r="C104" i="12"/>
  <c r="F88" i="12"/>
  <c r="E88" i="12"/>
  <c r="D88" i="12"/>
  <c r="D94" i="12" s="1"/>
  <c r="C88" i="12"/>
  <c r="F56" i="12"/>
  <c r="E56" i="12"/>
  <c r="D56" i="12"/>
  <c r="C56" i="12"/>
  <c r="D43" i="12"/>
  <c r="D138" i="12" s="1"/>
  <c r="C138" i="12"/>
  <c r="F41" i="12"/>
  <c r="E41" i="12"/>
  <c r="D41" i="12"/>
  <c r="C41" i="12"/>
  <c r="E25" i="12"/>
  <c r="D25" i="12"/>
  <c r="F9" i="12"/>
  <c r="E9" i="12"/>
  <c r="E15" i="12" s="1"/>
  <c r="D9" i="12"/>
  <c r="D15" i="12" s="1"/>
  <c r="G53" i="11"/>
  <c r="F53" i="11"/>
  <c r="E53" i="11"/>
  <c r="D53" i="11"/>
  <c r="C53" i="11"/>
  <c r="C24" i="11"/>
  <c r="G73" i="11"/>
  <c r="F73" i="11"/>
  <c r="E73" i="11"/>
  <c r="D73" i="11"/>
  <c r="C73" i="11"/>
  <c r="G31" i="11"/>
  <c r="F31" i="11"/>
  <c r="E31" i="11"/>
  <c r="D31" i="11"/>
  <c r="C31" i="11"/>
  <c r="G62" i="11"/>
  <c r="F62" i="11"/>
  <c r="E62" i="11"/>
  <c r="D62" i="11"/>
  <c r="C62" i="11"/>
  <c r="G42" i="11"/>
  <c r="F42" i="11"/>
  <c r="E42" i="11"/>
  <c r="D42" i="11"/>
  <c r="C42" i="11"/>
  <c r="C7" i="10"/>
  <c r="E101" i="11" l="1"/>
  <c r="G101" i="11"/>
  <c r="F140" i="12"/>
  <c r="D101" i="11"/>
  <c r="E140" i="12"/>
  <c r="E141" i="12" s="1"/>
  <c r="D30" i="12"/>
  <c r="D31" i="12" s="1"/>
  <c r="F23" i="12"/>
  <c r="F134" i="12" s="1"/>
  <c r="E136" i="12"/>
  <c r="F149" i="13"/>
  <c r="F91" i="12"/>
  <c r="F139" i="12" s="1"/>
  <c r="F101" i="11"/>
  <c r="C101" i="11"/>
  <c r="E93" i="12"/>
  <c r="E94" i="12" s="1"/>
  <c r="C46" i="12"/>
  <c r="C47" i="12" s="1"/>
  <c r="C141" i="12"/>
  <c r="C142" i="12" s="1"/>
  <c r="D46" i="12"/>
  <c r="D47" i="12" s="1"/>
  <c r="C30" i="12"/>
  <c r="C31" i="12" s="1"/>
  <c r="F8" i="10"/>
  <c r="F64" i="10" s="1"/>
  <c r="E8" i="10"/>
  <c r="E64" i="10" s="1"/>
  <c r="D8" i="10"/>
  <c r="D64" i="10" s="1"/>
  <c r="G8" i="10"/>
  <c r="G64" i="10" s="1"/>
  <c r="C78" i="12"/>
  <c r="F62" i="12"/>
  <c r="F78" i="12"/>
  <c r="D78" i="12"/>
  <c r="E47" i="12"/>
  <c r="E110" i="12"/>
  <c r="F47" i="12"/>
  <c r="F110" i="12"/>
  <c r="D62" i="12"/>
  <c r="E62" i="12"/>
  <c r="E78" i="12"/>
  <c r="C94" i="12"/>
  <c r="C62" i="12"/>
  <c r="C110" i="12"/>
  <c r="E142" i="12" l="1"/>
  <c r="D102" i="11"/>
  <c r="F102" i="11"/>
  <c r="G102" i="11"/>
  <c r="E102" i="11"/>
  <c r="F136" i="12"/>
  <c r="F25" i="12"/>
  <c r="D141" i="12"/>
  <c r="D142" i="12" s="1"/>
  <c r="F141" i="12"/>
  <c r="F93" i="12"/>
  <c r="F94" i="12" s="1"/>
  <c r="E31" i="12"/>
  <c r="F15" i="12"/>
  <c r="F142" i="12" l="1"/>
  <c r="F31" i="12"/>
</calcChain>
</file>

<file path=xl/sharedStrings.xml><?xml version="1.0" encoding="utf-8"?>
<sst xmlns="http://schemas.openxmlformats.org/spreadsheetml/2006/main" count="1365" uniqueCount="583">
  <si>
    <t>Administrasjon</t>
  </si>
  <si>
    <t>Driftsrammer</t>
  </si>
  <si>
    <t>Budsjett 2019</t>
  </si>
  <si>
    <t>Budsjett 2020</t>
  </si>
  <si>
    <t>Budsjett 2021</t>
  </si>
  <si>
    <t>Budsjett 2022</t>
  </si>
  <si>
    <t>Budsjett 2023</t>
  </si>
  <si>
    <t>Sum utgifter</t>
  </si>
  <si>
    <t>Sum inntekter</t>
  </si>
  <si>
    <t>Netto driftsramme</t>
  </si>
  <si>
    <t>Rammeendring</t>
  </si>
  <si>
    <t>Økonomi og finans</t>
  </si>
  <si>
    <t>Næring og utvikling</t>
  </si>
  <si>
    <t>Oppvekst og kultur</t>
  </si>
  <si>
    <t>Helse og omsorg</t>
  </si>
  <si>
    <t>Utbygging og eiendom</t>
  </si>
  <si>
    <t>Teknisk</t>
  </si>
  <si>
    <t>Kommunes fellesområde</t>
  </si>
  <si>
    <t>Avdelingene</t>
  </si>
  <si>
    <t>Fordeling nettoramme</t>
  </si>
  <si>
    <t>AA Felles</t>
  </si>
  <si>
    <t>Kommuneadvokat</t>
  </si>
  <si>
    <t>Digitalisering og IKT</t>
  </si>
  <si>
    <t>HR</t>
  </si>
  <si>
    <t>Lærlinger</t>
  </si>
  <si>
    <t>Kommunikasjon</t>
  </si>
  <si>
    <t>Politisk sekretariat</t>
  </si>
  <si>
    <t>Nedtrekk rådhusprosjekt</t>
  </si>
  <si>
    <t>Sum</t>
  </si>
  <si>
    <t>Tall i 1000</t>
  </si>
  <si>
    <t>Rådmann</t>
  </si>
  <si>
    <t>Økonomi</t>
  </si>
  <si>
    <t>Regnskap</t>
  </si>
  <si>
    <t>Kemner</t>
  </si>
  <si>
    <t>Innkjøp</t>
  </si>
  <si>
    <t>Analyse</t>
  </si>
  <si>
    <t>Nedtrekk administrasjon</t>
  </si>
  <si>
    <t>Stab felles</t>
  </si>
  <si>
    <t>Plan og samfunn</t>
  </si>
  <si>
    <t>Næring, utvikling og landbruk</t>
  </si>
  <si>
    <t>OK felles</t>
  </si>
  <si>
    <t>Grunnskole</t>
  </si>
  <si>
    <t>Barnehage</t>
  </si>
  <si>
    <t>Barne og familie</t>
  </si>
  <si>
    <t>Kultur</t>
  </si>
  <si>
    <t>Flyktning</t>
  </si>
  <si>
    <t>Barnevern</t>
  </si>
  <si>
    <t>HO Øvrig</t>
  </si>
  <si>
    <t>Institusjoner</t>
  </si>
  <si>
    <t>Hjemmetjenesten</t>
  </si>
  <si>
    <t>Miljøtjenesten</t>
  </si>
  <si>
    <t>Tildeling</t>
  </si>
  <si>
    <t>Helse</t>
  </si>
  <si>
    <t>NAV</t>
  </si>
  <si>
    <t>Adm og støtte</t>
  </si>
  <si>
    <t>FDVU og renhold</t>
  </si>
  <si>
    <t>Grunn og eiendom</t>
  </si>
  <si>
    <t>Utbygging*</t>
  </si>
  <si>
    <t>UE Øvrig</t>
  </si>
  <si>
    <t>Tall i 1000
*Finansiert over investeringsprosjekter</t>
  </si>
  <si>
    <t>Felles TA</t>
  </si>
  <si>
    <t>Sivilforsvaret</t>
  </si>
  <si>
    <t>Byggesak</t>
  </si>
  <si>
    <t>Byplan</t>
  </si>
  <si>
    <t>Geodata</t>
  </si>
  <si>
    <t>Byteknikk</t>
  </si>
  <si>
    <t>Vann og Avløp*</t>
  </si>
  <si>
    <t>Tall i 1000
*100% selvkostfinansiert</t>
  </si>
  <si>
    <t>Skatt- og rammetilskudd</t>
  </si>
  <si>
    <t>Finansforvaltning</t>
  </si>
  <si>
    <t>Felles tiltak</t>
  </si>
  <si>
    <t>Kontingenter og system drift</t>
  </si>
  <si>
    <t>Avskrivninger</t>
  </si>
  <si>
    <t>OPS</t>
  </si>
  <si>
    <t>KF</t>
  </si>
  <si>
    <t>IKS</t>
  </si>
  <si>
    <t>Pensjon</t>
  </si>
  <si>
    <t>Konsesjonskraft</t>
  </si>
  <si>
    <t>Eksterne avtaler</t>
  </si>
  <si>
    <t xml:space="preserve">Tall i 1000
</t>
  </si>
  <si>
    <t>OK</t>
  </si>
  <si>
    <t>HO</t>
  </si>
  <si>
    <t>Kommunens fellesområde</t>
  </si>
  <si>
    <t>Driftsbudsjett endringer</t>
  </si>
  <si>
    <t>Konsekvensjustering</t>
  </si>
  <si>
    <t>Lønns- og pensjonsendring</t>
  </si>
  <si>
    <t>Prisjustering inntekter/utgifter</t>
  </si>
  <si>
    <t>Øvrig endring</t>
  </si>
  <si>
    <t>Sum konsekvensjustering</t>
  </si>
  <si>
    <t>Tiltak</t>
  </si>
  <si>
    <t>Vedtatte endringer</t>
  </si>
  <si>
    <t>Nye behov</t>
  </si>
  <si>
    <t>Rammereduksjon</t>
  </si>
  <si>
    <t>Sum tiltak</t>
  </si>
  <si>
    <t>Tjenesteområdene</t>
  </si>
  <si>
    <t>Driftsbudsjett tiltak</t>
  </si>
  <si>
    <t>Tillitsvalgtbudsjett</t>
  </si>
  <si>
    <t>Sum nye behov</t>
  </si>
  <si>
    <t>Sum rammereduksjoner</t>
  </si>
  <si>
    <t>Flytting av kemner til stat</t>
  </si>
  <si>
    <t>Nedtrekk driftsrammer ihht rapport</t>
  </si>
  <si>
    <t>Ramsar</t>
  </si>
  <si>
    <t>Tidlig innsats inn i rammetilskudd</t>
  </si>
  <si>
    <t>Leirskole innlemmes i rammetilskuddet</t>
  </si>
  <si>
    <t>Endret fremdriftsplan nye barnehager</t>
  </si>
  <si>
    <t>Klesgodtgjørelse</t>
  </si>
  <si>
    <t>IKT-lisenser</t>
  </si>
  <si>
    <t>Økt lønnsbudsjett for å opprettholde antall stillinger.</t>
  </si>
  <si>
    <t>Husleie Storgata 27/29</t>
  </si>
  <si>
    <t>Økt tiltaksbudsjett, institusjons- og fosterhjemsplasseringer</t>
  </si>
  <si>
    <t>Husleie Barne- og familieenheten</t>
  </si>
  <si>
    <t>Prosjektleder STImuli</t>
  </si>
  <si>
    <t>17. mai-komiteen</t>
  </si>
  <si>
    <t>Vaksinasjonsprogram Russen</t>
  </si>
  <si>
    <t>Redusert inntekt flyktningområdet, overføring R8</t>
  </si>
  <si>
    <t>Driftsmidler psykisk helserådgivere</t>
  </si>
  <si>
    <t>Endret periodisering Europeisk kulturhovedstad</t>
  </si>
  <si>
    <t>Legge ned Bodø naturskole</t>
  </si>
  <si>
    <t>Redusere samarbeidsavtaler om alternative læringsarenaer</t>
  </si>
  <si>
    <t>Effektivisere valgfagstilbudet i ungdomsskolen</t>
  </si>
  <si>
    <t>Tverlandshallen AL, opphør leieavtale</t>
  </si>
  <si>
    <t>Den kulturelle skolesekken, reduksjon i tilbudet</t>
  </si>
  <si>
    <t>Kommunalt tilskudd til 4H gården</t>
  </si>
  <si>
    <t>Redusere antall stillinger PPT</t>
  </si>
  <si>
    <t xml:space="preserve">Legge ned Linken barnehage </t>
  </si>
  <si>
    <t>Holde bemanningsnorm på 6,0</t>
  </si>
  <si>
    <t>Redusert tilskudd til Stormen kulturhus</t>
  </si>
  <si>
    <t>Reduksjon i overføring til Spektrum KF</t>
  </si>
  <si>
    <t>Reduksjon frie, søkbare tilskuddsmidler til kultur</t>
  </si>
  <si>
    <t>Reduksjon frie, søkbare tilskuddsmidler til idrett</t>
  </si>
  <si>
    <t>Reduserte faste tilskudd og driftsavtaler kultur</t>
  </si>
  <si>
    <t>Redusere produksjonsmidler til aktivitet - Ung kultur</t>
  </si>
  <si>
    <t>Redusert drift av egne busser (Amanda Buss)</t>
  </si>
  <si>
    <t>Legge ned Bratten Scene</t>
  </si>
  <si>
    <t>Redusert bokinnkjøp m.m. biblioteket</t>
  </si>
  <si>
    <t>Ikke vinterbrøyte kunstgressbanene</t>
  </si>
  <si>
    <t>Ta bort driftstilskudd til Geitvågen camping</t>
  </si>
  <si>
    <t>Redusere driftstilskudd Bodø idrettsråd</t>
  </si>
  <si>
    <t>Redusere islegging løkker vinterstid</t>
  </si>
  <si>
    <t>Redusere snøproduksjon Bestemorenga skistadion</t>
  </si>
  <si>
    <t>Redusere bistand Skarmoen alpinbakke</t>
  </si>
  <si>
    <t>Endret tiltaksprofil og innsparing av lønnsutgifter</t>
  </si>
  <si>
    <t>Ikke iverksette vedtatte tiltak, utekontakten</t>
  </si>
  <si>
    <t>Ikke iverksette vedtatte tiltak, åpne barnehager</t>
  </si>
  <si>
    <t>Prosjektmidler, utvikling av idrettsanlegg</t>
  </si>
  <si>
    <t>Investerings-/driftsmidler Newton landbruk</t>
  </si>
  <si>
    <t>Redusert utfordringsliste</t>
  </si>
  <si>
    <t>Rest effektivisering ufordelt</t>
  </si>
  <si>
    <t>Vekst i aktivitets basert finansiering (ABF)</t>
  </si>
  <si>
    <t>Opprettelse av Kvalitet- og utviklingskontor</t>
  </si>
  <si>
    <t>Prosjekt Smart helse Mørkved</t>
  </si>
  <si>
    <t>Helhetlig oppfølging av lavinntektsfamilier (HOLF)</t>
  </si>
  <si>
    <t>Nye lokaler Hjelpemiddellager</t>
  </si>
  <si>
    <t>Økning vedtak Hjemmetjenesten</t>
  </si>
  <si>
    <t>Økning vedtak Miljøtjenesten</t>
  </si>
  <si>
    <t>Hovdejordet sykehjem - Endret/omperiodisert driftskonsekvens</t>
  </si>
  <si>
    <t>Investeringer IKT - Endret/omperiodisert driftskonsekvens</t>
  </si>
  <si>
    <t>Krisesenter - Endret/omperiodisert driftskonsekvens</t>
  </si>
  <si>
    <t>Tilskudd inn i statsbudsjettet</t>
  </si>
  <si>
    <t>Institusjon - Reduksjon av pleiefaktor</t>
  </si>
  <si>
    <t xml:space="preserve">Rehabiliteringstjenesten - Reduksjon fysoterapitjenester  </t>
  </si>
  <si>
    <t>Helse og omsorg - Heltidskultur</t>
  </si>
  <si>
    <t>Helse og omsorg - Egenbetalinger</t>
  </si>
  <si>
    <t>Oppfølgingstjenesten - Nedtrekk Villa Vekst</t>
  </si>
  <si>
    <t>Helsekontoret - Avslutte støtte til ATV (Alternativ til vold)</t>
  </si>
  <si>
    <t>Miljøtjenesten - Ny organisering gruppetilbud aktivitet og fritidstilbud</t>
  </si>
  <si>
    <t>Hjemmetjenesten - Sammenslåing av Hjtj. Øst og Skjerstad</t>
  </si>
  <si>
    <t>NAV - Reduksjon ramme</t>
  </si>
  <si>
    <t>Bodø Industri - Ikke anbud på vask, transport og reparasjon av hjelpemidler</t>
  </si>
  <si>
    <t>Rehabiliteringstjenesten - Reduksjon Frisklivsentralen</t>
  </si>
  <si>
    <t>Rehabiliteringstjenesten - Innføre egenbetaling for fysioterapitjenester</t>
  </si>
  <si>
    <t>Dagsenter - Reduksjon i tilbud</t>
  </si>
  <si>
    <t>Røde Kors - Avvikle støtte (BUA)</t>
  </si>
  <si>
    <t>NAV - Barnetrygd i beregningsgrunnlag for sosialhjelp</t>
  </si>
  <si>
    <t>Hjemmetjenesten - Reduksjon av pleiefaktor i bokollektiv</t>
  </si>
  <si>
    <t>Kirkens bymisjon - Avvikle tilskudd matsentralen</t>
  </si>
  <si>
    <t>Kirkens Bymisjon - Avvikle prosjekt Fri</t>
  </si>
  <si>
    <t xml:space="preserve">Miljøtjenesten - Ny organisering av bo og tjenestetilbud – Bokollektiv </t>
  </si>
  <si>
    <t>Helse og omsorg - Ny organisering transport</t>
  </si>
  <si>
    <t>Hjemmetjenesten - Avvikle Lysthushaugen</t>
  </si>
  <si>
    <t>Kirkens bymisjon - Avvikle støtte Ny giv, Jobb1, helsestasjonen og møtestedet</t>
  </si>
  <si>
    <t>Helse og omsorg - Reduksjon i bemanning natt</t>
  </si>
  <si>
    <t>Helse og omsorg - Reduksjon støttefunksjoner</t>
  </si>
  <si>
    <t>Institusjon - Redusere frivillighetskoordinatorer</t>
  </si>
  <si>
    <t>Oppfølgingstjenesten - Nedtrekk Housing First</t>
  </si>
  <si>
    <t>Helse og omsorg - Stoppe iverksetting av prosjekt nytt botilbud Tiurveien</t>
  </si>
  <si>
    <t>Oppfølgingstjenesten - Reduksjon 1 årsverk ruskonsulent</t>
  </si>
  <si>
    <t>Ikke bygging i Vebjørn Tandbergs vei 14</t>
  </si>
  <si>
    <t>Ikke spesifiserte tiltak/omperiodisering rammereduksjon</t>
  </si>
  <si>
    <t>Finansiering av ENØK-rådgiver</t>
  </si>
  <si>
    <t>Driftstilpasning</t>
  </si>
  <si>
    <t>Driftskonsekvenser nye bygg</t>
  </si>
  <si>
    <t>Driftskonsekvens ved videre bruk og drift av tenkt fraflyttede bygg</t>
  </si>
  <si>
    <t>Nytt offentlig toalett Rådhusparken.</t>
  </si>
  <si>
    <t>Redusert bassengdrift når skolene er stengt</t>
  </si>
  <si>
    <t>ENØK-tiltak bygg</t>
  </si>
  <si>
    <t xml:space="preserve">Driftssentralisering inkl. stormen </t>
  </si>
  <si>
    <t>Prosjekt med Virksomhetene og IRIS Salten for reduserte kostnader</t>
  </si>
  <si>
    <t>Bedre eiendomsforvaltning med samarbeid med leietakere</t>
  </si>
  <si>
    <t>Sonedrift av tjenesteleveransene</t>
  </si>
  <si>
    <t>Skofri skole</t>
  </si>
  <si>
    <t>Standard for renholdstjenester</t>
  </si>
  <si>
    <t>Redusert renholdsfrekvens på adm.bygg</t>
  </si>
  <si>
    <t>Robotisering og automatisering av renhold</t>
  </si>
  <si>
    <t xml:space="preserve">Teknisk </t>
  </si>
  <si>
    <t>Endring iht. selvkostreglement for renovasjon</t>
  </si>
  <si>
    <t>Manglende ramme for MS Helligvær etter frafalt tilskudd NFK</t>
  </si>
  <si>
    <t>Underfinansiering Gatelys ift. tilskudd fra Bodø Energi</t>
  </si>
  <si>
    <t>Miljøkonto for uforutsette miljøbehov</t>
  </si>
  <si>
    <t>Avvikling av MS Helligvær</t>
  </si>
  <si>
    <t>Utvidet parkeringssoner og endrede parkeringspriser</t>
  </si>
  <si>
    <t>Redusert ambisjonsnivå for snøhåndtering/strøing</t>
  </si>
  <si>
    <t>Avvikle sommerblomster</t>
  </si>
  <si>
    <t>Vinterbelysning i sentrum*</t>
  </si>
  <si>
    <t>Økning vedtak Bokollektiv</t>
  </si>
  <si>
    <t>ØP 2019-2022</t>
  </si>
  <si>
    <t>Totale driftsrammer</t>
  </si>
  <si>
    <t>Fordeling driftsrammer</t>
  </si>
  <si>
    <t>Endringer i driftsbudsjett</t>
  </si>
  <si>
    <t>Spesifiserte behov og rammereduksjoner</t>
  </si>
  <si>
    <t>Oversikt over tidligere vedtatte endringer, som har effekt for årets økonomiplan 2020-2022</t>
  </si>
  <si>
    <t>Driftseffektivisering Rådhuskvartalet</t>
  </si>
  <si>
    <t>Lærlingeløftet</t>
  </si>
  <si>
    <t>Avslutning midlertidig husleie arkiv</t>
  </si>
  <si>
    <t>Digitalisering administrative tjenester</t>
  </si>
  <si>
    <t>Smart Bodø plattform</t>
  </si>
  <si>
    <t>Stilling Beredskap</t>
  </si>
  <si>
    <t xml:space="preserve">Redusering nivå budtjeneste </t>
  </si>
  <si>
    <t>Reduksjon porto</t>
  </si>
  <si>
    <t xml:space="preserve">Digitalisering </t>
  </si>
  <si>
    <t>Valg</t>
  </si>
  <si>
    <t>Midlertidige lokaler Moloveien 16</t>
  </si>
  <si>
    <t>Husleie Moloveien</t>
  </si>
  <si>
    <t>Kommunedelsutvalg Værran</t>
  </si>
  <si>
    <t>2-dagers valg</t>
  </si>
  <si>
    <t>Vakanser - driftseffektivisering</t>
  </si>
  <si>
    <t>Driftstilpasning Adm</t>
  </si>
  <si>
    <t>Sum vedtatte endringer AA</t>
  </si>
  <si>
    <t>Holde stillinger vakante</t>
  </si>
  <si>
    <t>Sum vedtatte endringer ØF</t>
  </si>
  <si>
    <t>Endring i prosjekter i perioden</t>
  </si>
  <si>
    <t>Nytt prosjekt 1550</t>
  </si>
  <si>
    <t>Smart Bodø 0,5 stilling m.m.</t>
  </si>
  <si>
    <t>RAMSAR</t>
  </si>
  <si>
    <t>Sum vedtatte endringer NU</t>
  </si>
  <si>
    <t xml:space="preserve">Lønnavsetning/tiltak </t>
  </si>
  <si>
    <t xml:space="preserve">Redusert pris SFO </t>
  </si>
  <si>
    <t>Leieutgifter Kulturskolen</t>
  </si>
  <si>
    <t>Driftskonsekvenser Aspåsen skole</t>
  </si>
  <si>
    <t>Driftskonsekvenser Mørkvedbukta</t>
  </si>
  <si>
    <t>Driftskonsekvenser Tverlandet skole</t>
  </si>
  <si>
    <t>Driftskonsekvenser Misvær skole renhold</t>
  </si>
  <si>
    <t>PS 18/85 Skolesvømming</t>
  </si>
  <si>
    <t>Flere moduler i visma - Digitalisering/redusere tidstyver</t>
  </si>
  <si>
    <t>Ny lovpålagt bemanningsnorm 6,0</t>
  </si>
  <si>
    <t>Driftsfordeler Løding og Sentrum bhg NY</t>
  </si>
  <si>
    <t>Kutt i fagteamet</t>
  </si>
  <si>
    <t>Vedtatt i tidligere økonomiplaner</t>
  </si>
  <si>
    <t xml:space="preserve">Driftskonsekvenser "Svømmehallen" </t>
  </si>
  <si>
    <t>Vestvatn, lønnstilskudd daglig leder PS 128/18 </t>
  </si>
  <si>
    <t>Europeisk kulturhovedstad</t>
  </si>
  <si>
    <t>Driftskonsekvenser Bestemorenga skiløype</t>
  </si>
  <si>
    <t>Driftskonsekvenser Kyststi</t>
  </si>
  <si>
    <t>Driftskonsekvenser Treningsparker</t>
  </si>
  <si>
    <t>Tusenhjemmet</t>
  </si>
  <si>
    <t>Ikke videreføre avtaler/abonnement</t>
  </si>
  <si>
    <t>Andre driftstiltak idrett/friluft</t>
  </si>
  <si>
    <t>Mellomtrinn på Alberthaugen</t>
  </si>
  <si>
    <t>Mobbeombud</t>
  </si>
  <si>
    <t>2 nye stillinger kulturskolen</t>
  </si>
  <si>
    <t>Utekontakten økte stilling</t>
  </si>
  <si>
    <t>Økt satsing familiesenter - 2 stillinger</t>
  </si>
  <si>
    <t>Mind 2</t>
  </si>
  <si>
    <t>Redusere leiepris idrettshaller og anlegg - barn/ungdom</t>
  </si>
  <si>
    <t xml:space="preserve">Prosjektmidler Frivillighetens Hus </t>
  </si>
  <si>
    <t>Prosjektmidler til utvikling av idrettsanlegg</t>
  </si>
  <si>
    <t>Newton Landbruksrom</t>
  </si>
  <si>
    <t>Tertial 1 2019</t>
  </si>
  <si>
    <t>Barnevern avlastere</t>
  </si>
  <si>
    <t>Driftstilskudd Jektefart</t>
  </si>
  <si>
    <t>Bodø kulturråd</t>
  </si>
  <si>
    <t>Økt husleie gml svømmehallen</t>
  </si>
  <si>
    <t>Ekstra lønnsoppgj. Barnehagestyrere</t>
  </si>
  <si>
    <t>Sum vedtatte endringer OK</t>
  </si>
  <si>
    <t>Samlepost fra tidligere ØP</t>
  </si>
  <si>
    <t>Krisesenter i Salten</t>
  </si>
  <si>
    <t>Nye og endrede brukere Tildeling</t>
  </si>
  <si>
    <t>Velferdsteknologi</t>
  </si>
  <si>
    <t>IKT grunnleggende infrastruktur</t>
  </si>
  <si>
    <t>Utsatt videre implementering Heltidskultur</t>
  </si>
  <si>
    <t>Redusert tilskudd BOPRO</t>
  </si>
  <si>
    <t>Driftskonsekvens Hovdejordet/Vollsletta</t>
  </si>
  <si>
    <t>Økning ergo- og fysioterapi</t>
  </si>
  <si>
    <t>Sonebase i privat boligmasse</t>
  </si>
  <si>
    <t>12 omsorgsboliger</t>
  </si>
  <si>
    <t>Justering omsorgsboliger</t>
  </si>
  <si>
    <t>Frivillighetskoordinatorer (10591.3498.253.0)</t>
  </si>
  <si>
    <t>Kirkens bymisjon avtale (13701.3110.243.0)</t>
  </si>
  <si>
    <t>Trygghetsalarm</t>
  </si>
  <si>
    <t>Sum vedtatte endringer HO</t>
  </si>
  <si>
    <t>Driftskonsekvenser investeringer</t>
  </si>
  <si>
    <t>Effektiviseringstiltak</t>
  </si>
  <si>
    <t>Driftstilpasninger UE</t>
  </si>
  <si>
    <t>ENØK</t>
  </si>
  <si>
    <t>Sum vedtatte endringer UE</t>
  </si>
  <si>
    <t>Effektivisering</t>
  </si>
  <si>
    <t>Nedtrekk i en stilling Geodata</t>
  </si>
  <si>
    <t>Vinterdrift sykkelveier</t>
  </si>
  <si>
    <t>MS Helligvær - mangler 150k ift tertial</t>
  </si>
  <si>
    <t>Torvfrie alternativer</t>
  </si>
  <si>
    <t>Sum vedtatte endringer TA</t>
  </si>
  <si>
    <t>Vedtatt</t>
  </si>
  <si>
    <t>Innsatsteam</t>
  </si>
  <si>
    <t>Reduksjon ett årsverk politisk sekretariat</t>
  </si>
  <si>
    <t>Oppvelst og kultur</t>
  </si>
  <si>
    <t>Skoler</t>
  </si>
  <si>
    <t>Drift</t>
  </si>
  <si>
    <t>J</t>
  </si>
  <si>
    <t>Rehabilitering skolebygg</t>
  </si>
  <si>
    <t>N</t>
  </si>
  <si>
    <t xml:space="preserve">Mørkvedbukta - ny skole  og barnehage  </t>
  </si>
  <si>
    <t>Skolenes uteområder</t>
  </si>
  <si>
    <t>Aspåsen skole (hovedprosjekt)</t>
  </si>
  <si>
    <t>Østbyen, utrednings-/planleggingsmidler</t>
  </si>
  <si>
    <t>Infrastruktur IKT Skole og barnehage</t>
  </si>
  <si>
    <t>Alstad Barneskole, utrednings-/planleggingsmidler</t>
  </si>
  <si>
    <t>Flytting av modulbygg (Bodøsjøen)    </t>
  </si>
  <si>
    <t>Flytting av mellomtrinn Alberthaugen</t>
  </si>
  <si>
    <t>Misvær oppvekstsenter </t>
  </si>
  <si>
    <t>Oppgradering VVS anlegg</t>
  </si>
  <si>
    <t>Barnehage Tverlandet</t>
  </si>
  <si>
    <t>Barnehage Vestbyen</t>
  </si>
  <si>
    <t>Barnehagenes uteområder</t>
  </si>
  <si>
    <t>Bygninger</t>
  </si>
  <si>
    <t xml:space="preserve">Brannoppgradering </t>
  </si>
  <si>
    <t>Energieffetiviseringstiltak</t>
  </si>
  <si>
    <t>Rehabilitering bygg</t>
  </si>
  <si>
    <t>ENØK oppgradering varmestyring / SD-anlegg</t>
  </si>
  <si>
    <t xml:space="preserve">Nye Bodø Rådhus </t>
  </si>
  <si>
    <t xml:space="preserve">Sanering av bygningsmasse </t>
  </si>
  <si>
    <t>Oppgradering av el-anlegg</t>
  </si>
  <si>
    <t>HMS tiltak/bygg, rullerende handlingsplan</t>
  </si>
  <si>
    <t>Tilskudd fra Husbanken</t>
  </si>
  <si>
    <t>Helsehuset </t>
  </si>
  <si>
    <t>Botilbud Tiurveien</t>
  </si>
  <si>
    <t>IKT -innovasjon helse og omsorg</t>
  </si>
  <si>
    <t>IKT-  grunnleggende IKT infrastruktur</t>
  </si>
  <si>
    <t>IKT - pasient- og ansattevarsling institusjon/bolig</t>
  </si>
  <si>
    <t>IKT - Ansattevarsling hjemmetjeneste</t>
  </si>
  <si>
    <t xml:space="preserve">Krisesenteret i Salten </t>
  </si>
  <si>
    <t>Småhus</t>
  </si>
  <si>
    <t>Hjemmetjenesten  - sonebase i privat boligmasse</t>
  </si>
  <si>
    <t>Veier og byutvikling</t>
  </si>
  <si>
    <t>Bypakke Bodø - trafikksikkerhet, G/S-veg, fortau, miljø mm.</t>
  </si>
  <si>
    <t xml:space="preserve">Bypakke Bodø: Digitale barnetråkk - Div mindre prosjekter </t>
  </si>
  <si>
    <t>Bypakke Bodø - kollektivprosjekter</t>
  </si>
  <si>
    <t>Oppgradering av kommunale veger</t>
  </si>
  <si>
    <t>Rehabilitering/asfaltering distriktene</t>
  </si>
  <si>
    <t>Opprusting sentrumsgater</t>
  </si>
  <si>
    <t>Oppgradering bruer</t>
  </si>
  <si>
    <t>Vei- og gatelys kommunal bev.</t>
  </si>
  <si>
    <t>Byteknikk - innkjøp maskiner</t>
  </si>
  <si>
    <t>Oppgradering lekeplasser</t>
  </si>
  <si>
    <t>Hunstadveien G/S-vei - oppgradering</t>
  </si>
  <si>
    <t>Sjøgata - oppgradering ifm ny reguleringsplan</t>
  </si>
  <si>
    <t xml:space="preserve">Rønvikfjellet ny vei/fortau </t>
  </si>
  <si>
    <t xml:space="preserve">Informasjonsskilt Rv 80 </t>
  </si>
  <si>
    <t xml:space="preserve">Automatfronter </t>
  </si>
  <si>
    <t xml:space="preserve">Vikepliktsregulering i Mørkvedveien </t>
  </si>
  <si>
    <t>Kultur og idrett</t>
  </si>
  <si>
    <t>Kyststi</t>
  </si>
  <si>
    <t xml:space="preserve">Bru Høglia rehabilitering </t>
  </si>
  <si>
    <t xml:space="preserve">Rehabilitering Stordalshallen inkl. sportsgulv </t>
  </si>
  <si>
    <t>Svømmebasseng Spektrum</t>
  </si>
  <si>
    <t>Kirke</t>
  </si>
  <si>
    <t>Oppgradering kirkegårder</t>
  </si>
  <si>
    <t>Bodø domkirke, oppgradering varmeanlegg</t>
  </si>
  <si>
    <t>Oppgradering av kirker</t>
  </si>
  <si>
    <t>IKT-plattformprosjekter</t>
  </si>
  <si>
    <t>E-læring og HRM ressursstyring</t>
  </si>
  <si>
    <t>NUA Smart Bodø</t>
  </si>
  <si>
    <t>Ny by ny flyplass</t>
  </si>
  <si>
    <t>VA</t>
  </si>
  <si>
    <t>Sanering sentr.vann</t>
  </si>
  <si>
    <t>Burøya/Valen - Nyholmen</t>
  </si>
  <si>
    <t>Hunstadlia - Junkervei - VL i Rv tunnel</t>
  </si>
  <si>
    <t>Vannledning Godøynes - Skålbones</t>
  </si>
  <si>
    <t>Forsterking brannvannsdekning/oppgradering</t>
  </si>
  <si>
    <t>Hunstad Sør og Mørkvedbukta</t>
  </si>
  <si>
    <t>Vollsletta - reguleringsplankrav TA SAK</t>
  </si>
  <si>
    <t xml:space="preserve">Vannforsyning Seines/Gillesvåg </t>
  </si>
  <si>
    <t>Stokkvika - Hunstad- Utskifting VL ifm avløpsprosjekt</t>
  </si>
  <si>
    <t>Reinsletta mm - forprosjekt sanering ifm Bypakke Bodø</t>
  </si>
  <si>
    <t>Breivika vv-ny brønn mm</t>
  </si>
  <si>
    <t>Bertnes vannledning del 3</t>
  </si>
  <si>
    <t>Avvanningsbil</t>
  </si>
  <si>
    <t>Sanering sentrum</t>
  </si>
  <si>
    <t>Stokkvika - Hunstadmoen</t>
  </si>
  <si>
    <t>Bodøsjøen 2</t>
  </si>
  <si>
    <t>Mørkved renseanl. Utvides</t>
  </si>
  <si>
    <t>Skivik-Løpsmark Renseanlegg</t>
  </si>
  <si>
    <t>Bertnes avløpsopprydding</t>
  </si>
  <si>
    <t>Nordstrandveien VA - forprosjekt sanering ifm ny veg</t>
  </si>
  <si>
    <t xml:space="preserve">Jensvoll avløpsopprydding -forprosjekt </t>
  </si>
  <si>
    <t>Sone 500 Jensvoll overføring til sone 505 Åltjønna</t>
  </si>
  <si>
    <t>Sone 505 Åltjønna overføring til sone 600 Stokkvika</t>
  </si>
  <si>
    <t>Reinsletta avløpssanering</t>
  </si>
  <si>
    <t>Urbanhydrologisk stasjon</t>
  </si>
  <si>
    <t>Totalt</t>
  </si>
  <si>
    <t>Mva</t>
  </si>
  <si>
    <t>Ferdig</t>
  </si>
  <si>
    <t>Ramme</t>
  </si>
  <si>
    <t>Budsjett</t>
  </si>
  <si>
    <t>Nr</t>
  </si>
  <si>
    <t>Investeringer i anleggsmidler</t>
  </si>
  <si>
    <t>år</t>
  </si>
  <si>
    <t>Tidligere</t>
  </si>
  <si>
    <t>N1</t>
  </si>
  <si>
    <t>R</t>
  </si>
  <si>
    <t>N2</t>
  </si>
  <si>
    <t>Lokaler Vågnes nødslakteri</t>
  </si>
  <si>
    <t>Sum Næring og utvikling</t>
  </si>
  <si>
    <t>KA1</t>
  </si>
  <si>
    <t>KA2</t>
  </si>
  <si>
    <t>KA3</t>
  </si>
  <si>
    <t>Sum KF/Andre</t>
  </si>
  <si>
    <t>A1</t>
  </si>
  <si>
    <t>A2</t>
  </si>
  <si>
    <t>A3</t>
  </si>
  <si>
    <t>A4</t>
  </si>
  <si>
    <t>Sum administrasjon</t>
  </si>
  <si>
    <t>KF1</t>
  </si>
  <si>
    <t>Sum kommunes fellesområde</t>
  </si>
  <si>
    <t>OK1</t>
  </si>
  <si>
    <t>OK2</t>
  </si>
  <si>
    <t>OK3</t>
  </si>
  <si>
    <t>OK4</t>
  </si>
  <si>
    <t>OK5</t>
  </si>
  <si>
    <t>OK6</t>
  </si>
  <si>
    <t>OK7</t>
  </si>
  <si>
    <t>OK8</t>
  </si>
  <si>
    <t>OK9</t>
  </si>
  <si>
    <t>OK10</t>
  </si>
  <si>
    <t>OK11</t>
  </si>
  <si>
    <t>OK12</t>
  </si>
  <si>
    <t xml:space="preserve">Barneveret, IKT </t>
  </si>
  <si>
    <t>OK13</t>
  </si>
  <si>
    <t>OK14</t>
  </si>
  <si>
    <t>OK15</t>
  </si>
  <si>
    <t>OK16</t>
  </si>
  <si>
    <t>Treningsparker - del 2</t>
  </si>
  <si>
    <t>OK17</t>
  </si>
  <si>
    <t>OK18</t>
  </si>
  <si>
    <t>OK19</t>
  </si>
  <si>
    <t>Bankgata flerbrukshall, kyddemping</t>
  </si>
  <si>
    <t>OK20</t>
  </si>
  <si>
    <t>OK21</t>
  </si>
  <si>
    <t>Sum oppvekst og kultur</t>
  </si>
  <si>
    <t>HO1</t>
  </si>
  <si>
    <t>HO2</t>
  </si>
  <si>
    <t>Vebjørn Tandbergs vei 7 - 3. etg - 8 nye sykehjemspl.</t>
  </si>
  <si>
    <t>HO3</t>
  </si>
  <si>
    <t>HO4</t>
  </si>
  <si>
    <t>HO5</t>
  </si>
  <si>
    <t>HO6</t>
  </si>
  <si>
    <t>HO7</t>
  </si>
  <si>
    <t>HO8</t>
  </si>
  <si>
    <t>HO9</t>
  </si>
  <si>
    <t>Utprøving av "leie - før - eie"- modell</t>
  </si>
  <si>
    <t>HO10</t>
  </si>
  <si>
    <t>Mulighetsstudie – Aktivitet- og avlastningssenter</t>
  </si>
  <si>
    <t>HO11</t>
  </si>
  <si>
    <t>HO12</t>
  </si>
  <si>
    <t>HO13</t>
  </si>
  <si>
    <t>Sum helse og oppvekst</t>
  </si>
  <si>
    <t>UE1</t>
  </si>
  <si>
    <t>UE2</t>
  </si>
  <si>
    <t>UE3</t>
  </si>
  <si>
    <t>UE4</t>
  </si>
  <si>
    <t>UE5</t>
  </si>
  <si>
    <t>UE6</t>
  </si>
  <si>
    <t xml:space="preserve">Mulighetsstudie – Nepåkeren </t>
  </si>
  <si>
    <t>UE7</t>
  </si>
  <si>
    <t>UE8</t>
  </si>
  <si>
    <t>Sum utbygging og eiendom</t>
  </si>
  <si>
    <t>TA1</t>
  </si>
  <si>
    <t>TA2</t>
  </si>
  <si>
    <t>TA3</t>
  </si>
  <si>
    <t>TA4</t>
  </si>
  <si>
    <t>TA5</t>
  </si>
  <si>
    <t>TA6</t>
  </si>
  <si>
    <t>TA7</t>
  </si>
  <si>
    <t>TA8</t>
  </si>
  <si>
    <t>TA9</t>
  </si>
  <si>
    <t>TA10</t>
  </si>
  <si>
    <t>TA11</t>
  </si>
  <si>
    <t>TA12</t>
  </si>
  <si>
    <t>Feltutbygging</t>
  </si>
  <si>
    <t>TA13</t>
  </si>
  <si>
    <t>TA14</t>
  </si>
  <si>
    <t>TA15</t>
  </si>
  <si>
    <t>TA16</t>
  </si>
  <si>
    <t>TA17</t>
  </si>
  <si>
    <t>TA18</t>
  </si>
  <si>
    <t>TA19</t>
  </si>
  <si>
    <t>TA20</t>
  </si>
  <si>
    <t>TA21</t>
  </si>
  <si>
    <t>TA22</t>
  </si>
  <si>
    <t>TA23</t>
  </si>
  <si>
    <t>TA24</t>
  </si>
  <si>
    <t>TA25</t>
  </si>
  <si>
    <t>TA26</t>
  </si>
  <si>
    <t>TA27</t>
  </si>
  <si>
    <t>TA28</t>
  </si>
  <si>
    <t>TA29</t>
  </si>
  <si>
    <t>TA30</t>
  </si>
  <si>
    <t>TA31</t>
  </si>
  <si>
    <t>TA32</t>
  </si>
  <si>
    <t>TA33</t>
  </si>
  <si>
    <t>TA34</t>
  </si>
  <si>
    <t>TA35</t>
  </si>
  <si>
    <t>TA36</t>
  </si>
  <si>
    <t>TA37</t>
  </si>
  <si>
    <t>TA38</t>
  </si>
  <si>
    <t>TA39</t>
  </si>
  <si>
    <t>TA40</t>
  </si>
  <si>
    <t>TA41</t>
  </si>
  <si>
    <t>TA42</t>
  </si>
  <si>
    <t>TA43</t>
  </si>
  <si>
    <t>TA44</t>
  </si>
  <si>
    <t>Sum teknisk avdeling</t>
  </si>
  <si>
    <t>Uprioriterte investeringsprosjekter</t>
  </si>
  <si>
    <t>Område</t>
  </si>
  <si>
    <t>Total kalkyle</t>
  </si>
  <si>
    <t>Drift mill. kr</t>
  </si>
  <si>
    <t>Videreføring 9360 - Nødstrømsaggregat i sykehjem</t>
  </si>
  <si>
    <t>Ombygging Vollveien 26 (Personalbase Arb. tilsynet)</t>
  </si>
  <si>
    <t>Helse- og omsorg</t>
  </si>
  <si>
    <t>Barneboliger</t>
  </si>
  <si>
    <t xml:space="preserve">Stadiontunet sykehjem - tøy/ søppelsjakt </t>
  </si>
  <si>
    <t>Omsorg + Smart Helse Mørkved - mulighetsstudie</t>
  </si>
  <si>
    <t>Botilbud psykisk helse og rus</t>
  </si>
  <si>
    <t>Botilbud for funksjonshemmede i Bodø kommune - mulighetsstudie</t>
  </si>
  <si>
    <t>Tverlandet Bosenter - mulighetsstudie</t>
  </si>
  <si>
    <t>Straumbo - mulighetsstudie</t>
  </si>
  <si>
    <t>Vågønes Helsepark - mulighetsstudie</t>
  </si>
  <si>
    <t>Sentrum sykehjem - mulighetsstudie</t>
  </si>
  <si>
    <t>Godøynes personalbase</t>
  </si>
  <si>
    <t>10 bokollektivplasser - Personer med funksjonsnedsettelser</t>
  </si>
  <si>
    <t xml:space="preserve">16 bokollektiv-plasser for personer med funksjonsnedsettelser. </t>
  </si>
  <si>
    <t xml:space="preserve">Etablering av 8 omsorgsboliger til personer med funksjonsnedsettelser. </t>
  </si>
  <si>
    <t>Omsorgsboliger Vebjørn Tandbergs vei 14 </t>
  </si>
  <si>
    <t>Bodø kirkegård, Aksen</t>
  </si>
  <si>
    <t>Bodø domkirke, kontorfløy</t>
  </si>
  <si>
    <t xml:space="preserve">Kjerringøy kirke, tetting og brannsikring </t>
  </si>
  <si>
    <t>Nytt - Disaster recovery</t>
  </si>
  <si>
    <t>Parkeringsplasser friluftsområder asfaltering Mjelle</t>
  </si>
  <si>
    <t>Bruer friluftsområder - Fenes rehabilitering</t>
  </si>
  <si>
    <t>Parkeringsplasser friluftsområder asfaltering Maskinisten</t>
  </si>
  <si>
    <t>Toaletter i friluftsområder - 4 stk.</t>
  </si>
  <si>
    <t>Mørkvedbukta kunstgressbane 9'er</t>
  </si>
  <si>
    <t>Mørkvedbukta kunstgressbane 9'er - spillemidler</t>
  </si>
  <si>
    <t>Mørkvedbukta kunstgressbane 9'er - eksterne midler</t>
  </si>
  <si>
    <t>Kunstgressbane 50x30m Misvær skole</t>
  </si>
  <si>
    <t>Kunstgressbane 50x30m Misvær skole - spillemidler</t>
  </si>
  <si>
    <t>Kunstgressbane 50x30m Misvær skole - eksterne midler</t>
  </si>
  <si>
    <t>Kunstgressbane 50x30m Kjerringøy skole</t>
  </si>
  <si>
    <t>Kunstgressbane 50x30m Kjerringøy skole - spillemidler</t>
  </si>
  <si>
    <t>Kunstgressbane 50x30m Kjerringøy skole - eksterne midler</t>
  </si>
  <si>
    <t>Kunstgressbane 50x30m Skaug skole</t>
  </si>
  <si>
    <t>Kunstgressbane 50x30m Skaug skole - spillemidler</t>
  </si>
  <si>
    <t>Kunstgressbane 50x30m Skaug skole - eksterne midler</t>
  </si>
  <si>
    <t>Lyssetting vei Mørkvedlia - Studentboliger</t>
  </si>
  <si>
    <t>Landbruksrom Newton</t>
  </si>
  <si>
    <t>Vatnlia leirskole, nybygg / rehabilitering</t>
  </si>
  <si>
    <t>Hunstad U - åpen hall/øke gymkapasiteten </t>
  </si>
  <si>
    <t xml:space="preserve">9672 - Godøynes avløp </t>
  </si>
  <si>
    <t>Godøynes avløpsopprydding</t>
  </si>
  <si>
    <t>Thalleveien VA-sanering</t>
  </si>
  <si>
    <t>Salg av eiendommer</t>
  </si>
  <si>
    <t>Suge/Spylebil for tømming av sandfang</t>
  </si>
  <si>
    <t>Oppskalering av veivedlikehold/rehab</t>
  </si>
  <si>
    <t>Thalleveien VA-sanering - veidelen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</si>
</sst>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#,##0_ ;\-#,##0\ 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375A7D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5" borderId="0" applyNumberFormat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3" fontId="0" fillId="0" borderId="0" xfId="0" applyNumberFormat="1"/>
    <xf numFmtId="0" fontId="4" fillId="0" borderId="0" xfId="0" applyFont="1"/>
    <xf numFmtId="3" fontId="0" fillId="0" borderId="0" xfId="1" applyNumberFormat="1" applyFont="1"/>
    <xf numFmtId="3" fontId="0" fillId="0" borderId="2" xfId="0" applyNumberFormat="1" applyBorder="1"/>
    <xf numFmtId="165" fontId="0" fillId="0" borderId="0" xfId="1" applyNumberFormat="1" applyFont="1"/>
    <xf numFmtId="3" fontId="2" fillId="0" borderId="0" xfId="1" applyNumberFormat="1" applyFont="1"/>
    <xf numFmtId="0" fontId="2" fillId="0" borderId="4" xfId="0" applyFont="1" applyBorder="1"/>
    <xf numFmtId="3" fontId="2" fillId="0" borderId="4" xfId="1" applyNumberFormat="1" applyFont="1" applyBorder="1"/>
    <xf numFmtId="0" fontId="5" fillId="0" borderId="0" xfId="0" applyFont="1" applyFill="1" applyBorder="1"/>
    <xf numFmtId="0" fontId="0" fillId="0" borderId="0" xfId="0" applyFont="1"/>
    <xf numFmtId="0" fontId="0" fillId="0" borderId="0" xfId="0"/>
    <xf numFmtId="3" fontId="4" fillId="0" borderId="0" xfId="0" applyNumberFormat="1" applyFont="1"/>
    <xf numFmtId="3" fontId="2" fillId="0" borderId="0" xfId="1" applyNumberFormat="1" applyFont="1" applyFill="1"/>
    <xf numFmtId="3" fontId="1" fillId="0" borderId="0" xfId="1" applyNumberFormat="1" applyFont="1" applyFill="1"/>
    <xf numFmtId="3" fontId="0" fillId="0" borderId="0" xfId="1" applyNumberFormat="1" applyFont="1" applyFill="1"/>
    <xf numFmtId="0" fontId="0" fillId="0" borderId="0" xfId="0" applyFill="1"/>
    <xf numFmtId="3" fontId="0" fillId="0" borderId="0" xfId="1" applyNumberFormat="1" applyFont="1" applyFill="1" applyBorder="1"/>
    <xf numFmtId="0" fontId="2" fillId="0" borderId="0" xfId="0" applyFont="1" applyBorder="1"/>
    <xf numFmtId="3" fontId="2" fillId="0" borderId="0" xfId="1" applyNumberFormat="1" applyFont="1" applyFill="1" applyBorder="1"/>
    <xf numFmtId="165" fontId="0" fillId="0" borderId="0" xfId="0" applyNumberFormat="1"/>
    <xf numFmtId="1" fontId="4" fillId="0" borderId="0" xfId="0" applyNumberFormat="1" applyFont="1"/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2" borderId="1" xfId="0" applyFont="1" applyFill="1" applyBorder="1"/>
    <xf numFmtId="3" fontId="0" fillId="0" borderId="2" xfId="0" applyNumberFormat="1" applyFill="1" applyBorder="1"/>
    <xf numFmtId="165" fontId="0" fillId="0" borderId="0" xfId="1" applyNumberFormat="1" applyFont="1" applyFill="1"/>
    <xf numFmtId="0" fontId="2" fillId="2" borderId="3" xfId="0" applyFont="1" applyFill="1" applyBorder="1" applyAlignment="1">
      <alignment horizontal="left"/>
    </xf>
    <xf numFmtId="3" fontId="0" fillId="0" borderId="0" xfId="0" applyNumberFormat="1" applyFill="1"/>
    <xf numFmtId="0" fontId="2" fillId="0" borderId="0" xfId="0" applyFont="1" applyFill="1"/>
    <xf numFmtId="0" fontId="2" fillId="0" borderId="4" xfId="0" applyFont="1" applyFill="1" applyBorder="1"/>
    <xf numFmtId="3" fontId="2" fillId="0" borderId="4" xfId="1" applyNumberFormat="1" applyFont="1" applyFill="1" applyBorder="1"/>
    <xf numFmtId="3" fontId="2" fillId="0" borderId="0" xfId="1" applyNumberFormat="1" applyFont="1" applyBorder="1"/>
    <xf numFmtId="3" fontId="3" fillId="0" borderId="0" xfId="1" applyNumberFormat="1" applyFont="1"/>
    <xf numFmtId="3" fontId="3" fillId="0" borderId="0" xfId="1" applyNumberFormat="1" applyFont="1" applyFill="1"/>
    <xf numFmtId="0" fontId="2" fillId="0" borderId="2" xfId="0" applyFont="1" applyBorder="1"/>
    <xf numFmtId="165" fontId="2" fillId="0" borderId="2" xfId="0" applyNumberFormat="1" applyFont="1" applyBorder="1"/>
    <xf numFmtId="165" fontId="2" fillId="0" borderId="2" xfId="0" applyNumberFormat="1" applyFont="1" applyFill="1" applyBorder="1"/>
    <xf numFmtId="3" fontId="2" fillId="0" borderId="2" xfId="0" applyNumberFormat="1" applyFont="1" applyBorder="1"/>
    <xf numFmtId="3" fontId="2" fillId="0" borderId="2" xfId="0" applyNumberFormat="1" applyFont="1" applyFill="1" applyBorder="1"/>
    <xf numFmtId="0" fontId="0" fillId="0" borderId="0" xfId="0" applyFont="1" applyFill="1" applyBorder="1"/>
    <xf numFmtId="0" fontId="0" fillId="0" borderId="2" xfId="0" applyBorder="1" applyAlignment="1">
      <alignment horizontal="left"/>
    </xf>
    <xf numFmtId="165" fontId="3" fillId="0" borderId="0" xfId="0" applyNumberFormat="1" applyFont="1"/>
    <xf numFmtId="0" fontId="0" fillId="0" borderId="0" xfId="0"/>
    <xf numFmtId="3" fontId="0" fillId="0" borderId="0" xfId="0" applyNumberFormat="1" applyFill="1" applyBorder="1"/>
    <xf numFmtId="0" fontId="9" fillId="0" borderId="0" xfId="0" applyFont="1"/>
    <xf numFmtId="0" fontId="8" fillId="0" borderId="0" xfId="0" applyFont="1" applyFill="1" applyBorder="1"/>
    <xf numFmtId="3" fontId="1" fillId="0" borderId="0" xfId="4" applyNumberFormat="1" applyFill="1" applyBorder="1"/>
    <xf numFmtId="3" fontId="0" fillId="0" borderId="0" xfId="4" applyNumberFormat="1" applyFont="1" applyFill="1" applyBorder="1"/>
    <xf numFmtId="164" fontId="0" fillId="0" borderId="0" xfId="1" applyNumberFormat="1" applyFont="1" applyFill="1" applyBorder="1"/>
    <xf numFmtId="3" fontId="2" fillId="0" borderId="2" xfId="4" applyNumberFormat="1" applyFont="1" applyFill="1" applyBorder="1"/>
    <xf numFmtId="164" fontId="2" fillId="0" borderId="2" xfId="0" applyNumberFormat="1" applyFont="1" applyFill="1" applyBorder="1"/>
    <xf numFmtId="3" fontId="2" fillId="0" borderId="0" xfId="4" applyNumberFormat="1" applyFont="1" applyFill="1" applyBorder="1"/>
    <xf numFmtId="3" fontId="2" fillId="0" borderId="0" xfId="0" applyNumberFormat="1" applyFont="1" applyFill="1" applyBorder="1"/>
    <xf numFmtId="3" fontId="0" fillId="0" borderId="2" xfId="4" applyNumberFormat="1" applyFont="1" applyFill="1" applyBorder="1"/>
    <xf numFmtId="3" fontId="1" fillId="0" borderId="0" xfId="4" applyNumberForma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64" fontId="2" fillId="0" borderId="2" xfId="1" applyNumberFormat="1" applyFont="1" applyFill="1" applyBorder="1"/>
    <xf numFmtId="0" fontId="2" fillId="0" borderId="2" xfId="0" applyFont="1" applyFill="1" applyBorder="1"/>
    <xf numFmtId="0" fontId="10" fillId="2" borderId="1" xfId="5" applyFont="1" applyFill="1" applyBorder="1" applyAlignment="1">
      <alignment horizontal="left" vertical="top"/>
    </xf>
    <xf numFmtId="3" fontId="2" fillId="2" borderId="1" xfId="4" applyNumberFormat="1" applyFont="1" applyFill="1" applyBorder="1"/>
    <xf numFmtId="165" fontId="0" fillId="0" borderId="0" xfId="1" applyNumberFormat="1" applyFont="1" applyFill="1" applyBorder="1"/>
    <xf numFmtId="0" fontId="6" fillId="0" borderId="5" xfId="0" applyFont="1" applyBorder="1" applyAlignment="1">
      <alignment horizontal="left" vertical="top" wrapText="1"/>
    </xf>
    <xf numFmtId="0" fontId="0" fillId="0" borderId="1" xfId="0" applyBorder="1"/>
    <xf numFmtId="0" fontId="13" fillId="0" borderId="1" xfId="0" applyFont="1" applyFill="1" applyBorder="1"/>
    <xf numFmtId="3" fontId="13" fillId="0" borderId="1" xfId="0" applyNumberFormat="1" applyFont="1" applyFill="1" applyBorder="1"/>
    <xf numFmtId="3" fontId="13" fillId="0" borderId="1" xfId="1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6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8" xfId="6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3" fontId="0" fillId="6" borderId="0" xfId="1" applyNumberFormat="1" applyFont="1" applyFill="1" applyAlignment="1">
      <alignment horizontal="right"/>
    </xf>
    <xf numFmtId="3" fontId="0" fillId="6" borderId="0" xfId="1" applyNumberFormat="1" applyFont="1" applyFill="1"/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14" fillId="6" borderId="2" xfId="0" applyFont="1" applyFill="1" applyBorder="1" applyAlignment="1">
      <alignment horizontal="left"/>
    </xf>
    <xf numFmtId="0" fontId="14" fillId="6" borderId="2" xfId="0" applyFont="1" applyFill="1" applyBorder="1" applyAlignment="1">
      <alignment horizontal="right"/>
    </xf>
    <xf numFmtId="3" fontId="14" fillId="6" borderId="2" xfId="1" applyNumberFormat="1" applyFont="1" applyFill="1" applyBorder="1" applyAlignment="1">
      <alignment horizontal="right"/>
    </xf>
    <xf numFmtId="3" fontId="0" fillId="6" borderId="2" xfId="1" applyNumberFormat="1" applyFont="1" applyFill="1" applyBorder="1"/>
    <xf numFmtId="0" fontId="2" fillId="2" borderId="12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64" fontId="0" fillId="6" borderId="7" xfId="1" applyNumberFormat="1" applyFont="1" applyFill="1" applyBorder="1"/>
    <xf numFmtId="0" fontId="0" fillId="6" borderId="0" xfId="0" applyFill="1" applyBorder="1" applyAlignment="1">
      <alignment horizontal="center"/>
    </xf>
    <xf numFmtId="164" fontId="1" fillId="6" borderId="12" xfId="1" applyNumberFormat="1" applyFill="1" applyBorder="1"/>
    <xf numFmtId="164" fontId="0" fillId="6" borderId="13" xfId="1" applyNumberFormat="1" applyFont="1" applyFill="1" applyBorder="1"/>
    <xf numFmtId="0" fontId="0" fillId="6" borderId="2" xfId="0" applyFill="1" applyBorder="1"/>
    <xf numFmtId="0" fontId="14" fillId="6" borderId="11" xfId="0" applyFont="1" applyFill="1" applyBorder="1" applyAlignment="1">
      <alignment horizontal="left"/>
    </xf>
    <xf numFmtId="164" fontId="1" fillId="6" borderId="9" xfId="1" applyNumberFormat="1" applyFill="1" applyBorder="1"/>
    <xf numFmtId="0" fontId="0" fillId="6" borderId="14" xfId="0" applyFill="1" applyBorder="1" applyAlignment="1">
      <alignment horizontal="center"/>
    </xf>
    <xf numFmtId="164" fontId="0" fillId="6" borderId="14" xfId="1" applyNumberFormat="1" applyFont="1" applyFill="1" applyBorder="1"/>
    <xf numFmtId="0" fontId="0" fillId="6" borderId="11" xfId="0" applyFill="1" applyBorder="1" applyAlignment="1">
      <alignment horizontal="center"/>
    </xf>
    <xf numFmtId="164" fontId="0" fillId="6" borderId="8" xfId="1" applyNumberFormat="1" applyFont="1" applyFill="1" applyBorder="1"/>
    <xf numFmtId="164" fontId="1" fillId="6" borderId="7" xfId="1" applyNumberFormat="1" applyFill="1" applyBorder="1"/>
    <xf numFmtId="164" fontId="0" fillId="6" borderId="12" xfId="1" applyNumberFormat="1" applyFont="1" applyFill="1" applyBorder="1"/>
    <xf numFmtId="164" fontId="1" fillId="6" borderId="8" xfId="1" applyNumberFormat="1" applyFill="1" applyBorder="1"/>
    <xf numFmtId="164" fontId="0" fillId="0" borderId="0" xfId="1" applyNumberFormat="1" applyFont="1" applyBorder="1" applyAlignment="1">
      <alignment horizontal="left"/>
    </xf>
    <xf numFmtId="164" fontId="1" fillId="0" borderId="0" xfId="1" applyNumberFormat="1" applyBorder="1"/>
    <xf numFmtId="0" fontId="0" fillId="6" borderId="7" xfId="0" applyFill="1" applyBorder="1"/>
    <xf numFmtId="0" fontId="0" fillId="6" borderId="12" xfId="0" applyFill="1" applyBorder="1"/>
    <xf numFmtId="0" fontId="0" fillId="6" borderId="8" xfId="0" applyFill="1" applyBorder="1"/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6" borderId="2" xfId="0" applyFont="1" applyFill="1" applyBorder="1"/>
    <xf numFmtId="3" fontId="2" fillId="6" borderId="2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166" fontId="13" fillId="0" borderId="1" xfId="0" applyNumberFormat="1" applyFont="1" applyFill="1" applyBorder="1"/>
    <xf numFmtId="166" fontId="13" fillId="0" borderId="1" xfId="1" applyNumberFormat="1" applyFont="1" applyFill="1" applyBorder="1"/>
  </cellXfs>
  <cellStyles count="7">
    <cellStyle name="20 % - uthevingsfarge 1" xfId="4" builtinId="30"/>
    <cellStyle name="20 % - uthevingsfarge 6" xfId="6" builtinId="50"/>
    <cellStyle name="60 % - uthevingsfarge 1" xfId="5" builtinId="32"/>
    <cellStyle name="Komma" xfId="1" builtinId="3"/>
    <cellStyle name="Komma 2" xfId="2"/>
    <cellStyle name="Komm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kmob.sharepoint.com/sites/konomiplan2020-2023/Delte%20dokumenter/2020-2023/Investeringsplan%202020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2020-2023"/>
      <sheetName val="Nye investeringer"/>
      <sheetName val="Driftskonsekvenser"/>
      <sheetName val="Oppsummering"/>
      <sheetName val="Original"/>
    </sheetNames>
    <sheetDataSet>
      <sheetData sheetId="0" refreshError="1"/>
      <sheetData sheetId="1" refreshError="1"/>
      <sheetData sheetId="2">
        <row r="112">
          <cell r="A112" t="str">
            <v>Oppsummering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zoomScaleNormal="100" workbookViewId="0">
      <selection activeCell="E38" sqref="E38"/>
    </sheetView>
  </sheetViews>
  <sheetFormatPr baseColWidth="10" defaultColWidth="11.42578125" defaultRowHeight="15" x14ac:dyDescent="0.25"/>
  <cols>
    <col min="1" max="1" width="2.5703125" customWidth="1"/>
    <col min="2" max="2" width="29.42578125" customWidth="1"/>
    <col min="3" max="3" width="12.85546875" bestFit="1" customWidth="1"/>
    <col min="4" max="4" width="13.5703125" bestFit="1" customWidth="1"/>
    <col min="5" max="7" width="12.85546875" bestFit="1" customWidth="1"/>
    <col min="12" max="12" width="12" bestFit="1" customWidth="1"/>
  </cols>
  <sheetData>
    <row r="1" spans="1:7" s="48" customFormat="1" ht="21" x14ac:dyDescent="0.35">
      <c r="A1" s="48" t="s">
        <v>216</v>
      </c>
    </row>
    <row r="2" spans="1:7" s="46" customFormat="1" x14ac:dyDescent="0.25"/>
    <row r="3" spans="1:7" x14ac:dyDescent="0.25">
      <c r="A3" s="14"/>
      <c r="B3" s="13" t="s">
        <v>0</v>
      </c>
      <c r="C3" s="13"/>
      <c r="D3" s="13"/>
      <c r="E3" s="13"/>
      <c r="F3" s="13"/>
      <c r="G3" s="13"/>
    </row>
    <row r="4" spans="1:7" x14ac:dyDescent="0.25">
      <c r="A4" s="14"/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</row>
    <row r="5" spans="1:7" x14ac:dyDescent="0.25">
      <c r="A5" s="14"/>
      <c r="B5" s="13" t="s">
        <v>7</v>
      </c>
      <c r="C5" s="6">
        <v>157870.353</v>
      </c>
      <c r="D5" s="18">
        <v>150750.66800000001</v>
      </c>
      <c r="E5" s="6">
        <v>151475.66800000001</v>
      </c>
      <c r="F5" s="6">
        <v>147975.66800000001</v>
      </c>
      <c r="G5" s="6">
        <v>147975.66800000001</v>
      </c>
    </row>
    <row r="6" spans="1:7" x14ac:dyDescent="0.25">
      <c r="A6" s="14"/>
      <c r="B6" s="13" t="s">
        <v>8</v>
      </c>
      <c r="C6" s="6">
        <v>-26884.298999999999</v>
      </c>
      <c r="D6" s="18">
        <v>-24873.179</v>
      </c>
      <c r="E6" s="6">
        <v>-24873.179</v>
      </c>
      <c r="F6" s="6">
        <v>-24873.179</v>
      </c>
      <c r="G6" s="6">
        <v>-24873.179</v>
      </c>
    </row>
    <row r="7" spans="1:7" x14ac:dyDescent="0.25">
      <c r="A7" s="14"/>
      <c r="B7" s="38" t="s">
        <v>9</v>
      </c>
      <c r="C7" s="41">
        <f>C5+C6</f>
        <v>130986.054</v>
      </c>
      <c r="D7" s="42">
        <f>D5+D6</f>
        <v>125877.489</v>
      </c>
      <c r="E7" s="41">
        <f>E5+E6</f>
        <v>126602.489</v>
      </c>
      <c r="F7" s="41">
        <f>F5+F6</f>
        <v>123102.489</v>
      </c>
      <c r="G7" s="41">
        <f>G5+G6</f>
        <v>123102.489</v>
      </c>
    </row>
    <row r="8" spans="1:7" s="14" customFormat="1" x14ac:dyDescent="0.25">
      <c r="B8" s="2" t="s">
        <v>10</v>
      </c>
      <c r="C8" s="36"/>
      <c r="D8" s="37">
        <f>D7-$C$7</f>
        <v>-5108.5650000000023</v>
      </c>
      <c r="E8" s="36">
        <f>E7-$C$7</f>
        <v>-4383.5650000000023</v>
      </c>
      <c r="F8" s="36">
        <f>F7-$C$7</f>
        <v>-7883.5650000000023</v>
      </c>
      <c r="G8" s="36">
        <f>G7-$C$7</f>
        <v>-7883.5650000000023</v>
      </c>
    </row>
    <row r="9" spans="1:7" x14ac:dyDescent="0.25">
      <c r="A9" s="14"/>
      <c r="B9" s="43"/>
      <c r="C9" s="13"/>
      <c r="D9" s="13"/>
      <c r="E9" s="13"/>
      <c r="F9" s="13"/>
      <c r="G9" s="13"/>
    </row>
    <row r="10" spans="1:7" x14ac:dyDescent="0.25">
      <c r="A10" s="14"/>
      <c r="B10" s="13" t="s">
        <v>11</v>
      </c>
      <c r="C10" s="13"/>
      <c r="D10" s="13"/>
      <c r="E10" s="13"/>
      <c r="F10" s="13"/>
      <c r="G10" s="13"/>
    </row>
    <row r="11" spans="1:7" x14ac:dyDescent="0.25">
      <c r="A11" s="14"/>
      <c r="B11" s="27" t="s">
        <v>1</v>
      </c>
      <c r="C11" s="27" t="s">
        <v>2</v>
      </c>
      <c r="D11" s="27" t="s">
        <v>3</v>
      </c>
      <c r="E11" s="27" t="s">
        <v>4</v>
      </c>
      <c r="F11" s="27" t="s">
        <v>5</v>
      </c>
      <c r="G11" s="27" t="s">
        <v>6</v>
      </c>
    </row>
    <row r="12" spans="1:7" x14ac:dyDescent="0.25">
      <c r="A12" s="14"/>
      <c r="B12" s="13" t="s">
        <v>7</v>
      </c>
      <c r="C12" s="6">
        <v>44766.364000000001</v>
      </c>
      <c r="D12" s="18">
        <v>39815.754000000001</v>
      </c>
      <c r="E12" s="6">
        <v>34775.754000000001</v>
      </c>
      <c r="F12" s="6">
        <v>30115.754000000001</v>
      </c>
      <c r="G12" s="6">
        <v>26845.754000000001</v>
      </c>
    </row>
    <row r="13" spans="1:7" x14ac:dyDescent="0.25">
      <c r="A13" s="14"/>
      <c r="B13" s="13" t="s">
        <v>8</v>
      </c>
      <c r="C13" s="6">
        <v>-16303.439</v>
      </c>
      <c r="D13" s="18">
        <v>-17180.398000000001</v>
      </c>
      <c r="E13" s="6">
        <v>-17180.398000000001</v>
      </c>
      <c r="F13" s="6">
        <v>-17180.398000000001</v>
      </c>
      <c r="G13" s="6">
        <v>-17180.398000000001</v>
      </c>
    </row>
    <row r="14" spans="1:7" x14ac:dyDescent="0.25">
      <c r="A14" s="14"/>
      <c r="B14" s="38" t="s">
        <v>9</v>
      </c>
      <c r="C14" s="41">
        <f>C12+C13</f>
        <v>28462.925000000003</v>
      </c>
      <c r="D14" s="42">
        <f>SUM(D12:D13)</f>
        <v>22635.356</v>
      </c>
      <c r="E14" s="41">
        <f>SUM(E12:E13)</f>
        <v>17595.356</v>
      </c>
      <c r="F14" s="41">
        <f>SUM(F12:F13)</f>
        <v>12935.356</v>
      </c>
      <c r="G14" s="41">
        <f>SUM(G12:G13)</f>
        <v>9665.3559999999998</v>
      </c>
    </row>
    <row r="15" spans="1:7" x14ac:dyDescent="0.25">
      <c r="A15" s="14"/>
      <c r="B15" s="2" t="s">
        <v>10</v>
      </c>
      <c r="C15" s="36"/>
      <c r="D15" s="37">
        <f>D14-$C$14</f>
        <v>-5827.5690000000031</v>
      </c>
      <c r="E15" s="36">
        <f>E14-$C$14</f>
        <v>-10867.569000000003</v>
      </c>
      <c r="F15" s="36">
        <f>F14-$C$14</f>
        <v>-15527.569000000003</v>
      </c>
      <c r="G15" s="36">
        <f>G14-$C$14</f>
        <v>-18797.569000000003</v>
      </c>
    </row>
    <row r="16" spans="1:7" x14ac:dyDescent="0.25">
      <c r="A16" s="14"/>
      <c r="B16" s="43"/>
      <c r="C16" s="13"/>
      <c r="D16" s="13"/>
      <c r="E16" s="13"/>
      <c r="F16" s="13"/>
      <c r="G16" s="13"/>
    </row>
    <row r="17" spans="2:7" x14ac:dyDescent="0.25">
      <c r="B17" s="43" t="s">
        <v>12</v>
      </c>
      <c r="C17" s="13"/>
      <c r="D17" s="13"/>
      <c r="E17" s="13"/>
      <c r="F17" s="13"/>
      <c r="G17" s="13"/>
    </row>
    <row r="18" spans="2:7" x14ac:dyDescent="0.25">
      <c r="B18" s="27" t="s">
        <v>1</v>
      </c>
      <c r="C18" s="27" t="s">
        <v>2</v>
      </c>
      <c r="D18" s="27" t="s">
        <v>3</v>
      </c>
      <c r="E18" s="27" t="s">
        <v>4</v>
      </c>
      <c r="F18" s="27" t="s">
        <v>5</v>
      </c>
      <c r="G18" s="27" t="s">
        <v>6</v>
      </c>
    </row>
    <row r="19" spans="2:7" x14ac:dyDescent="0.25">
      <c r="B19" s="13" t="s">
        <v>7</v>
      </c>
      <c r="C19" s="6">
        <v>44597</v>
      </c>
      <c r="D19" s="18">
        <v>53259</v>
      </c>
      <c r="E19" s="6">
        <v>51303</v>
      </c>
      <c r="F19" s="6">
        <v>46173.934000000001</v>
      </c>
      <c r="G19" s="6">
        <v>44615.603000000003</v>
      </c>
    </row>
    <row r="20" spans="2:7" x14ac:dyDescent="0.25">
      <c r="B20" s="13" t="s">
        <v>8</v>
      </c>
      <c r="C20" s="6">
        <v>-13543</v>
      </c>
      <c r="D20" s="18">
        <v>-21081.504000000001</v>
      </c>
      <c r="E20" s="6">
        <v>-19127</v>
      </c>
      <c r="F20" s="6">
        <v>-14494.499</v>
      </c>
      <c r="G20" s="6">
        <v>-12936.168</v>
      </c>
    </row>
    <row r="21" spans="2:7" x14ac:dyDescent="0.25">
      <c r="B21" s="38" t="s">
        <v>9</v>
      </c>
      <c r="C21" s="41">
        <f>C19+C20</f>
        <v>31054</v>
      </c>
      <c r="D21" s="42">
        <f>SUM(D19:D20)</f>
        <v>32177.495999999999</v>
      </c>
      <c r="E21" s="41">
        <f>SUM(E19:E20)</f>
        <v>32176</v>
      </c>
      <c r="F21" s="41">
        <f>SUM(F19:F20)</f>
        <v>31679.435000000001</v>
      </c>
      <c r="G21" s="41">
        <f>SUM(G19:G20)</f>
        <v>31679.435000000005</v>
      </c>
    </row>
    <row r="22" spans="2:7" x14ac:dyDescent="0.25">
      <c r="B22" s="2" t="s">
        <v>10</v>
      </c>
      <c r="C22" s="36"/>
      <c r="D22" s="37">
        <f>D21-$C$21</f>
        <v>1123.4959999999992</v>
      </c>
      <c r="E22" s="36">
        <f>E21-$C$21</f>
        <v>1122</v>
      </c>
      <c r="F22" s="36">
        <f>F21-$C$21</f>
        <v>625.43500000000131</v>
      </c>
      <c r="G22" s="36">
        <f>G21-$C$21</f>
        <v>625.43500000000495</v>
      </c>
    </row>
    <row r="23" spans="2:7" x14ac:dyDescent="0.25">
      <c r="B23" s="43"/>
      <c r="C23" s="13"/>
      <c r="D23" s="13"/>
      <c r="E23" s="13"/>
      <c r="F23" s="13"/>
      <c r="G23" s="13"/>
    </row>
    <row r="24" spans="2:7" x14ac:dyDescent="0.25">
      <c r="B24" s="43" t="s">
        <v>13</v>
      </c>
      <c r="C24" s="13"/>
      <c r="D24" s="13"/>
      <c r="E24" s="13"/>
      <c r="F24" s="13"/>
      <c r="G24" s="13"/>
    </row>
    <row r="25" spans="2:7" x14ac:dyDescent="0.25">
      <c r="B25" s="27" t="s">
        <v>1</v>
      </c>
      <c r="C25" s="27" t="s">
        <v>2</v>
      </c>
      <c r="D25" s="27" t="s">
        <v>3</v>
      </c>
      <c r="E25" s="27" t="s">
        <v>4</v>
      </c>
      <c r="F25" s="27" t="s">
        <v>5</v>
      </c>
      <c r="G25" s="27" t="s">
        <v>6</v>
      </c>
    </row>
    <row r="26" spans="2:7" x14ac:dyDescent="0.25">
      <c r="B26" s="13" t="s">
        <v>7</v>
      </c>
      <c r="C26" s="6">
        <v>1611845.67</v>
      </c>
      <c r="D26" s="18">
        <v>1661561.493</v>
      </c>
      <c r="E26" s="6">
        <v>1648936.493</v>
      </c>
      <c r="F26" s="6">
        <v>1608415.8929999999</v>
      </c>
      <c r="G26" s="6">
        <v>1595375.8929999999</v>
      </c>
    </row>
    <row r="27" spans="2:7" x14ac:dyDescent="0.25">
      <c r="B27" s="13" t="s">
        <v>8</v>
      </c>
      <c r="C27" s="6">
        <v>-360751.81</v>
      </c>
      <c r="D27" s="18">
        <v>-364896.24200000003</v>
      </c>
      <c r="E27" s="6">
        <v>-364896.24200000003</v>
      </c>
      <c r="F27" s="6">
        <v>-364896.24200000003</v>
      </c>
      <c r="G27" s="6">
        <v>-364896.24200000003</v>
      </c>
    </row>
    <row r="28" spans="2:7" x14ac:dyDescent="0.25">
      <c r="B28" s="38" t="s">
        <v>9</v>
      </c>
      <c r="C28" s="41">
        <f>C26+C27</f>
        <v>1251093.8599999999</v>
      </c>
      <c r="D28" s="42">
        <f>SUM(D26:D27)</f>
        <v>1296665.2509999999</v>
      </c>
      <c r="E28" s="41">
        <f>SUM(E26:E27)</f>
        <v>1284040.2509999999</v>
      </c>
      <c r="F28" s="41">
        <f>SUM(F26:F27)</f>
        <v>1243519.6509999998</v>
      </c>
      <c r="G28" s="41">
        <f>SUM(G26:G27)</f>
        <v>1230479.6509999998</v>
      </c>
    </row>
    <row r="29" spans="2:7" x14ac:dyDescent="0.25">
      <c r="B29" s="2" t="s">
        <v>10</v>
      </c>
      <c r="C29" s="36"/>
      <c r="D29" s="37">
        <f>D28-$C$28</f>
        <v>45571.391000000061</v>
      </c>
      <c r="E29" s="36">
        <f>E28-$C$28</f>
        <v>32946.391000000061</v>
      </c>
      <c r="F29" s="36">
        <f>F28-$C$28</f>
        <v>-7574.2090000000317</v>
      </c>
      <c r="G29" s="36">
        <f>G28-$C$28</f>
        <v>-20614.209000000032</v>
      </c>
    </row>
    <row r="30" spans="2:7" x14ac:dyDescent="0.25">
      <c r="B30" s="13"/>
      <c r="C30" s="13"/>
      <c r="D30" s="13"/>
      <c r="E30" s="13"/>
      <c r="F30" s="13"/>
      <c r="G30" s="13"/>
    </row>
    <row r="31" spans="2:7" x14ac:dyDescent="0.25">
      <c r="B31" s="43" t="s">
        <v>14</v>
      </c>
      <c r="C31" s="13"/>
      <c r="D31" s="13"/>
      <c r="E31" s="13"/>
      <c r="F31" s="13"/>
      <c r="G31" s="13"/>
    </row>
    <row r="32" spans="2:7" x14ac:dyDescent="0.25">
      <c r="B32" s="27" t="s">
        <v>1</v>
      </c>
      <c r="C32" s="27" t="s">
        <v>2</v>
      </c>
      <c r="D32" s="27" t="s">
        <v>3</v>
      </c>
      <c r="E32" s="27" t="s">
        <v>4</v>
      </c>
      <c r="F32" s="27" t="s">
        <v>5</v>
      </c>
      <c r="G32" s="27" t="s">
        <v>6</v>
      </c>
    </row>
    <row r="33" spans="2:7" x14ac:dyDescent="0.25">
      <c r="B33" s="13" t="s">
        <v>7</v>
      </c>
      <c r="C33" s="6">
        <v>1493543.7919999999</v>
      </c>
      <c r="D33" s="18">
        <v>1569858.6410000001</v>
      </c>
      <c r="E33" s="6">
        <v>1565545.341</v>
      </c>
      <c r="F33" s="6">
        <v>1525112.041</v>
      </c>
      <c r="G33" s="6">
        <v>1504900.7409999999</v>
      </c>
    </row>
    <row r="34" spans="2:7" x14ac:dyDescent="0.25">
      <c r="B34" s="13" t="s">
        <v>8</v>
      </c>
      <c r="C34" s="6">
        <v>-363505.66100000002</v>
      </c>
      <c r="D34" s="18">
        <v>-359711.462</v>
      </c>
      <c r="E34" s="6">
        <v>-359711.462</v>
      </c>
      <c r="F34" s="6">
        <v>-359711.462</v>
      </c>
      <c r="G34" s="6">
        <v>-359711.462</v>
      </c>
    </row>
    <row r="35" spans="2:7" x14ac:dyDescent="0.25">
      <c r="B35" s="38" t="s">
        <v>9</v>
      </c>
      <c r="C35" s="41">
        <f>C33+C34</f>
        <v>1130038.1309999998</v>
      </c>
      <c r="D35" s="42">
        <f>SUM(D33:D34)</f>
        <v>1210147.179</v>
      </c>
      <c r="E35" s="41">
        <f>SUM(E33:E34)</f>
        <v>1205833.879</v>
      </c>
      <c r="F35" s="41">
        <f>SUM(F33:F34)</f>
        <v>1165400.5789999999</v>
      </c>
      <c r="G35" s="41">
        <f>SUM(G33:G34)</f>
        <v>1145189.2789999999</v>
      </c>
    </row>
    <row r="36" spans="2:7" x14ac:dyDescent="0.25">
      <c r="B36" s="2" t="s">
        <v>10</v>
      </c>
      <c r="C36" s="36"/>
      <c r="D36" s="37">
        <f>D35-$C$35</f>
        <v>80109.048000000184</v>
      </c>
      <c r="E36" s="36">
        <f>E35-$C$35</f>
        <v>75795.748000000138</v>
      </c>
      <c r="F36" s="36">
        <f>F35-$C$35</f>
        <v>35362.448000000091</v>
      </c>
      <c r="G36" s="36">
        <f>G35-$C$35</f>
        <v>15151.148000000045</v>
      </c>
    </row>
    <row r="37" spans="2:7" x14ac:dyDescent="0.25">
      <c r="B37" s="43"/>
      <c r="C37" s="13"/>
      <c r="D37" s="13"/>
      <c r="E37" s="13"/>
      <c r="F37" s="13"/>
      <c r="G37" s="13"/>
    </row>
    <row r="38" spans="2:7" x14ac:dyDescent="0.25">
      <c r="B38" s="43" t="s">
        <v>15</v>
      </c>
      <c r="C38" s="13"/>
      <c r="D38" s="13"/>
      <c r="E38" s="13"/>
      <c r="F38" s="13"/>
      <c r="G38" s="13"/>
    </row>
    <row r="39" spans="2:7" x14ac:dyDescent="0.25">
      <c r="B39" s="27" t="s">
        <v>1</v>
      </c>
      <c r="C39" s="27" t="s">
        <v>2</v>
      </c>
      <c r="D39" s="27" t="s">
        <v>3</v>
      </c>
      <c r="E39" s="27" t="s">
        <v>4</v>
      </c>
      <c r="F39" s="27" t="s">
        <v>5</v>
      </c>
      <c r="G39" s="27" t="s">
        <v>6</v>
      </c>
    </row>
    <row r="40" spans="2:7" x14ac:dyDescent="0.25">
      <c r="B40" s="13" t="s">
        <v>7</v>
      </c>
      <c r="C40" s="6">
        <v>187271.22200000001</v>
      </c>
      <c r="D40" s="18">
        <v>214233</v>
      </c>
      <c r="E40" s="6">
        <v>218872</v>
      </c>
      <c r="F40" s="6">
        <v>218408</v>
      </c>
      <c r="G40" s="6">
        <v>216660</v>
      </c>
    </row>
    <row r="41" spans="2:7" x14ac:dyDescent="0.25">
      <c r="B41" s="13" t="s">
        <v>8</v>
      </c>
      <c r="C41" s="6">
        <v>-41441.836000000003</v>
      </c>
      <c r="D41" s="18">
        <v>-53874.998</v>
      </c>
      <c r="E41" s="6">
        <v>-53874.998</v>
      </c>
      <c r="F41" s="6">
        <v>-53874.998</v>
      </c>
      <c r="G41" s="6">
        <v>-53874.998</v>
      </c>
    </row>
    <row r="42" spans="2:7" x14ac:dyDescent="0.25">
      <c r="B42" s="38" t="s">
        <v>9</v>
      </c>
      <c r="C42" s="41">
        <f>C40+C41</f>
        <v>145829.386</v>
      </c>
      <c r="D42" s="42">
        <f>SUM(D40:D41)</f>
        <v>160358.00200000001</v>
      </c>
      <c r="E42" s="41">
        <f>SUM(E40:E41)</f>
        <v>164997.00200000001</v>
      </c>
      <c r="F42" s="41">
        <f>SUM(F40:F41)</f>
        <v>164533.00200000001</v>
      </c>
      <c r="G42" s="41">
        <f>SUM(G40:G41)</f>
        <v>162785.00200000001</v>
      </c>
    </row>
    <row r="43" spans="2:7" s="2" customFormat="1" x14ac:dyDescent="0.25">
      <c r="B43" s="2" t="s">
        <v>10</v>
      </c>
      <c r="C43" s="36"/>
      <c r="D43" s="37">
        <f>D42-$C$42</f>
        <v>14528.616000000009</v>
      </c>
      <c r="E43" s="36">
        <f>E42-$C$42</f>
        <v>19167.616000000009</v>
      </c>
      <c r="F43" s="36">
        <f>F42-$C$42</f>
        <v>18703.616000000009</v>
      </c>
      <c r="G43" s="36">
        <f>G42-$C$42</f>
        <v>16955.616000000009</v>
      </c>
    </row>
    <row r="44" spans="2:7" x14ac:dyDescent="0.25">
      <c r="B44" s="43"/>
      <c r="C44" s="13"/>
      <c r="D44" s="13"/>
      <c r="E44" s="13"/>
      <c r="F44" s="13"/>
      <c r="G44" s="13"/>
    </row>
    <row r="45" spans="2:7" x14ac:dyDescent="0.25">
      <c r="B45" s="43" t="s">
        <v>16</v>
      </c>
      <c r="C45" s="13"/>
      <c r="D45" s="13"/>
      <c r="E45" s="13"/>
      <c r="F45" s="13"/>
      <c r="G45" s="13"/>
    </row>
    <row r="46" spans="2:7" x14ac:dyDescent="0.25">
      <c r="B46" s="27" t="s">
        <v>1</v>
      </c>
      <c r="C46" s="27" t="s">
        <v>2</v>
      </c>
      <c r="D46" s="27" t="s">
        <v>3</v>
      </c>
      <c r="E46" s="27" t="s">
        <v>4</v>
      </c>
      <c r="F46" s="27" t="s">
        <v>5</v>
      </c>
      <c r="G46" s="27" t="s">
        <v>6</v>
      </c>
    </row>
    <row r="47" spans="2:7" x14ac:dyDescent="0.25">
      <c r="B47" s="13" t="s">
        <v>7</v>
      </c>
      <c r="C47" s="6">
        <v>395162.72100000002</v>
      </c>
      <c r="D47" s="18">
        <v>408353</v>
      </c>
      <c r="E47" s="6">
        <v>405269</v>
      </c>
      <c r="F47" s="6">
        <v>399297</v>
      </c>
      <c r="G47" s="6">
        <v>395171</v>
      </c>
    </row>
    <row r="48" spans="2:7" x14ac:dyDescent="0.25">
      <c r="B48" s="13" t="s">
        <v>8</v>
      </c>
      <c r="C48" s="6">
        <v>-312652.875</v>
      </c>
      <c r="D48" s="18">
        <v>-326172.90100000001</v>
      </c>
      <c r="E48" s="6">
        <v>-326172.90100000001</v>
      </c>
      <c r="F48" s="6">
        <v>-326172.90100000001</v>
      </c>
      <c r="G48" s="6">
        <v>-326172.90100000001</v>
      </c>
    </row>
    <row r="49" spans="2:7" x14ac:dyDescent="0.25">
      <c r="B49" s="38" t="s">
        <v>9</v>
      </c>
      <c r="C49" s="41">
        <f>C47+C48</f>
        <v>82509.84600000002</v>
      </c>
      <c r="D49" s="42">
        <f>SUM(D47:D48)</f>
        <v>82180.098999999987</v>
      </c>
      <c r="E49" s="41">
        <f>SUM(E47:E48)</f>
        <v>79096.098999999987</v>
      </c>
      <c r="F49" s="41">
        <f>SUM(F47:F48)</f>
        <v>73124.098999999987</v>
      </c>
      <c r="G49" s="41">
        <f>SUM(G47:G48)</f>
        <v>68998.098999999987</v>
      </c>
    </row>
    <row r="50" spans="2:7" s="2" customFormat="1" x14ac:dyDescent="0.25">
      <c r="B50" s="2" t="s">
        <v>10</v>
      </c>
      <c r="C50" s="36"/>
      <c r="D50" s="37">
        <f>D49-$C$49</f>
        <v>-329.74700000003213</v>
      </c>
      <c r="E50" s="36">
        <f>E49-$C$49</f>
        <v>-3413.7470000000321</v>
      </c>
      <c r="F50" s="36">
        <f>F49-$C$49</f>
        <v>-9385.7470000000321</v>
      </c>
      <c r="G50" s="36">
        <f>G49-$C$49</f>
        <v>-13511.747000000032</v>
      </c>
    </row>
    <row r="51" spans="2:7" x14ac:dyDescent="0.25">
      <c r="B51" s="13"/>
      <c r="C51" s="13"/>
      <c r="D51" s="13"/>
      <c r="E51" s="13"/>
      <c r="F51" s="13"/>
      <c r="G51" s="13"/>
    </row>
    <row r="52" spans="2:7" x14ac:dyDescent="0.25">
      <c r="B52" s="43" t="s">
        <v>17</v>
      </c>
      <c r="C52" s="13"/>
      <c r="D52" s="13"/>
      <c r="E52" s="13"/>
      <c r="F52" s="13"/>
      <c r="G52" s="13"/>
    </row>
    <row r="53" spans="2:7" x14ac:dyDescent="0.25">
      <c r="B53" s="27" t="s">
        <v>1</v>
      </c>
      <c r="C53" s="27" t="s">
        <v>2</v>
      </c>
      <c r="D53" s="27" t="s">
        <v>3</v>
      </c>
      <c r="E53" s="27" t="s">
        <v>4</v>
      </c>
      <c r="F53" s="27" t="s">
        <v>5</v>
      </c>
      <c r="G53" s="27" t="s">
        <v>6</v>
      </c>
    </row>
    <row r="54" spans="2:7" x14ac:dyDescent="0.25">
      <c r="B54" s="13" t="s">
        <v>7</v>
      </c>
      <c r="C54" s="6">
        <v>395440.51899999997</v>
      </c>
      <c r="D54" s="18">
        <v>405277.76899999997</v>
      </c>
      <c r="E54" s="18">
        <v>109226.417</v>
      </c>
      <c r="F54" s="18">
        <v>198297.82</v>
      </c>
      <c r="G54" s="18">
        <v>235964.22</v>
      </c>
    </row>
    <row r="55" spans="2:7" x14ac:dyDescent="0.25">
      <c r="B55" s="13" t="s">
        <v>8</v>
      </c>
      <c r="C55" s="6">
        <v>-332149.25699999998</v>
      </c>
      <c r="D55" s="18">
        <v>-396302.06400000001</v>
      </c>
      <c r="E55" s="18">
        <v>-309411.06400000001</v>
      </c>
      <c r="F55" s="18">
        <v>-308995.06400000001</v>
      </c>
      <c r="G55" s="18">
        <v>-303574.864</v>
      </c>
    </row>
    <row r="56" spans="2:7" x14ac:dyDescent="0.25">
      <c r="B56" s="38" t="s">
        <v>9</v>
      </c>
      <c r="C56" s="41">
        <f>C54+C55</f>
        <v>63291.261999999988</v>
      </c>
      <c r="D56" s="42">
        <f>SUM(D54:D55)</f>
        <v>8975.7049999999581</v>
      </c>
      <c r="E56" s="41">
        <f>SUM(E54:E55)</f>
        <v>-200184.647</v>
      </c>
      <c r="F56" s="41">
        <f>SUM(F54:F55)</f>
        <v>-110697.24400000001</v>
      </c>
      <c r="G56" s="41">
        <f>SUM(G54:G55)</f>
        <v>-67610.644</v>
      </c>
    </row>
    <row r="57" spans="2:7" x14ac:dyDescent="0.25">
      <c r="B57" s="2" t="s">
        <v>10</v>
      </c>
      <c r="C57" s="36"/>
      <c r="D57" s="37">
        <f>D56-$C$56</f>
        <v>-54315.55700000003</v>
      </c>
      <c r="E57" s="36">
        <f>E56-$C$56</f>
        <v>-263475.90899999999</v>
      </c>
      <c r="F57" s="36">
        <f t="shared" ref="F57:G57" si="0">F56-$C$56</f>
        <v>-173988.50599999999</v>
      </c>
      <c r="G57" s="36">
        <f t="shared" si="0"/>
        <v>-130901.90599999999</v>
      </c>
    </row>
    <row r="58" spans="2:7" x14ac:dyDescent="0.25">
      <c r="B58" s="13"/>
      <c r="C58" s="13"/>
      <c r="D58" s="13"/>
      <c r="E58" s="13"/>
      <c r="F58" s="13"/>
      <c r="G58" s="13"/>
    </row>
    <row r="59" spans="2:7" x14ac:dyDescent="0.25">
      <c r="B59" s="13" t="s">
        <v>18</v>
      </c>
      <c r="C59" s="13"/>
      <c r="D59" s="13"/>
      <c r="E59" s="13"/>
      <c r="F59" s="13"/>
      <c r="G59" s="13"/>
    </row>
    <row r="60" spans="2:7" x14ac:dyDescent="0.25">
      <c r="B60" s="27" t="s">
        <v>1</v>
      </c>
      <c r="C60" s="27" t="s">
        <v>2</v>
      </c>
      <c r="D60" s="27" t="s">
        <v>3</v>
      </c>
      <c r="E60" s="27" t="s">
        <v>4</v>
      </c>
      <c r="F60" s="27" t="s">
        <v>5</v>
      </c>
      <c r="G60" s="27" t="s">
        <v>6</v>
      </c>
    </row>
    <row r="61" spans="2:7" x14ac:dyDescent="0.25">
      <c r="B61" s="13" t="s">
        <v>7</v>
      </c>
      <c r="C61" s="6">
        <f>C47+C40+C33+C26+C19+C12+C5+C54</f>
        <v>4330497.6409999998</v>
      </c>
      <c r="D61" s="18">
        <f>D47+D40+D33+D26+D19+D12+D5+D54</f>
        <v>4503109.3250000002</v>
      </c>
      <c r="E61" s="6">
        <f t="shared" ref="C61:G62" si="1">E47+E40+E33+E26+E19+E12+E5+E54</f>
        <v>4185403.673</v>
      </c>
      <c r="F61" s="6">
        <f t="shared" si="1"/>
        <v>4173796.1100000003</v>
      </c>
      <c r="G61" s="6">
        <f t="shared" si="1"/>
        <v>4167508.8790000002</v>
      </c>
    </row>
    <row r="62" spans="2:7" x14ac:dyDescent="0.25">
      <c r="B62" s="13" t="s">
        <v>8</v>
      </c>
      <c r="C62" s="6">
        <f t="shared" si="1"/>
        <v>-1467232.1769999999</v>
      </c>
      <c r="D62" s="18">
        <f>D48+D41+D34+D27+D20+D13+D6+D55</f>
        <v>-1564092.7480000001</v>
      </c>
      <c r="E62" s="6">
        <f t="shared" si="1"/>
        <v>-1475247.2440000002</v>
      </c>
      <c r="F62" s="6">
        <f t="shared" si="1"/>
        <v>-1470198.7430000002</v>
      </c>
      <c r="G62" s="6">
        <f t="shared" si="1"/>
        <v>-1463220.2120000003</v>
      </c>
    </row>
    <row r="63" spans="2:7" x14ac:dyDescent="0.25">
      <c r="B63" s="38" t="s">
        <v>9</v>
      </c>
      <c r="C63" s="41">
        <f>C61+C62</f>
        <v>2863265.4639999997</v>
      </c>
      <c r="D63" s="42">
        <f>SUM(D61:D62)</f>
        <v>2939016.577</v>
      </c>
      <c r="E63" s="41">
        <f>SUM(E61:E62)</f>
        <v>2710156.4289999995</v>
      </c>
      <c r="F63" s="41">
        <f t="shared" ref="F63:G63" si="2">SUM(F61:F62)</f>
        <v>2703597.3670000001</v>
      </c>
      <c r="G63" s="41">
        <f t="shared" si="2"/>
        <v>2704288.6669999999</v>
      </c>
    </row>
    <row r="64" spans="2:7" x14ac:dyDescent="0.25">
      <c r="B64" s="2" t="s">
        <v>10</v>
      </c>
      <c r="C64" s="36"/>
      <c r="D64" s="37">
        <f>D50+D43+D36+D29+D22+D15+D8+D57</f>
        <v>75751.113000000187</v>
      </c>
      <c r="E64" s="37">
        <f t="shared" ref="E64:G64" si="3">E50+E43+E36+E29+E22+E15+E8+E57</f>
        <v>-153109.0349999998</v>
      </c>
      <c r="F64" s="37">
        <f t="shared" si="3"/>
        <v>-159668.09699999995</v>
      </c>
      <c r="G64" s="37">
        <f t="shared" si="3"/>
        <v>-158976.79699999999</v>
      </c>
    </row>
  </sheetData>
  <pageMargins left="0.7" right="0.7" top="0.75" bottom="0.75" header="0.3" footer="0.3"/>
  <pageSetup paperSize="9" scale="78" orientation="portrait" r:id="rId1"/>
  <ignoredErrors>
    <ignoredError sqref="D21:G21" formulaRange="1"/>
    <ignoredError sqref="D63:G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opLeftCell="A64" workbookViewId="0">
      <selection activeCell="J100" sqref="J100"/>
    </sheetView>
  </sheetViews>
  <sheetFormatPr baseColWidth="10" defaultColWidth="11.42578125" defaultRowHeight="15" x14ac:dyDescent="0.25"/>
  <cols>
    <col min="1" max="1" width="3.140625" customWidth="1"/>
    <col min="2" max="2" width="28" customWidth="1"/>
    <col min="3" max="7" width="12.85546875" bestFit="1" customWidth="1"/>
  </cols>
  <sheetData>
    <row r="1" spans="1:7" ht="21" x14ac:dyDescent="0.35">
      <c r="A1" s="48" t="s">
        <v>217</v>
      </c>
      <c r="B1" s="14"/>
      <c r="C1" s="14"/>
      <c r="D1" s="4"/>
      <c r="E1" s="14"/>
      <c r="F1" s="14"/>
      <c r="G1" s="14"/>
    </row>
    <row r="3" spans="1:7" x14ac:dyDescent="0.25">
      <c r="A3" s="14"/>
      <c r="B3" s="14" t="s">
        <v>0</v>
      </c>
      <c r="C3" s="14"/>
      <c r="D3" s="14"/>
      <c r="E3" s="14"/>
      <c r="F3" s="14"/>
      <c r="G3" s="14"/>
    </row>
    <row r="4" spans="1:7" x14ac:dyDescent="0.25">
      <c r="A4" s="14"/>
      <c r="B4" s="27" t="s">
        <v>19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</row>
    <row r="5" spans="1:7" x14ac:dyDescent="0.25">
      <c r="A5" s="14"/>
      <c r="B5" s="14" t="s">
        <v>20</v>
      </c>
      <c r="C5" s="8">
        <v>-3409.0749999999998</v>
      </c>
      <c r="D5" s="29">
        <v>-4225.2219999999998</v>
      </c>
      <c r="E5" s="29">
        <v>-4225.2219999999998</v>
      </c>
      <c r="F5" s="29">
        <v>-4225.2219999999998</v>
      </c>
      <c r="G5" s="29">
        <v>-4225.2219999999998</v>
      </c>
    </row>
    <row r="6" spans="1:7" x14ac:dyDescent="0.25">
      <c r="A6" s="14"/>
      <c r="B6" s="14" t="s">
        <v>21</v>
      </c>
      <c r="C6" s="8">
        <v>2046.816</v>
      </c>
      <c r="D6" s="29">
        <v>2171.8789999999999</v>
      </c>
      <c r="E6" s="8">
        <v>2171.8789999999999</v>
      </c>
      <c r="F6" s="8">
        <v>2171.8789999999999</v>
      </c>
      <c r="G6" s="8">
        <v>2171.8789999999999</v>
      </c>
    </row>
    <row r="7" spans="1:7" x14ac:dyDescent="0.25">
      <c r="A7" s="14"/>
      <c r="B7" s="14" t="s">
        <v>22</v>
      </c>
      <c r="C7" s="8">
        <v>44556.241999999998</v>
      </c>
      <c r="D7" s="29">
        <v>46212.343999999997</v>
      </c>
      <c r="E7" s="8">
        <v>46437.343999999997</v>
      </c>
      <c r="F7" s="8">
        <v>46437.343999999997</v>
      </c>
      <c r="G7" s="8">
        <v>46437.343999999997</v>
      </c>
    </row>
    <row r="8" spans="1:7" x14ac:dyDescent="0.25">
      <c r="A8" s="14"/>
      <c r="B8" s="14" t="s">
        <v>23</v>
      </c>
      <c r="C8" s="8">
        <v>33452.998</v>
      </c>
      <c r="D8" s="29">
        <v>35014.252999999997</v>
      </c>
      <c r="E8" s="8">
        <v>35014.252999999997</v>
      </c>
      <c r="F8" s="8">
        <v>35014.252999999997</v>
      </c>
      <c r="G8" s="8">
        <v>35014.252999999997</v>
      </c>
    </row>
    <row r="9" spans="1:7" x14ac:dyDescent="0.25">
      <c r="A9" s="14"/>
      <c r="B9" s="14" t="s">
        <v>24</v>
      </c>
      <c r="C9" s="8">
        <v>13573.012000000001</v>
      </c>
      <c r="D9" s="29">
        <v>14616.200999999999</v>
      </c>
      <c r="E9" s="8">
        <v>14616.200999999999</v>
      </c>
      <c r="F9" s="8">
        <v>14616.200999999999</v>
      </c>
      <c r="G9" s="8">
        <v>14616.200999999999</v>
      </c>
    </row>
    <row r="10" spans="1:7" x14ac:dyDescent="0.25">
      <c r="A10" s="14"/>
      <c r="B10" s="14" t="s">
        <v>25</v>
      </c>
      <c r="C10" s="8">
        <v>21061.326000000001</v>
      </c>
      <c r="D10" s="29">
        <v>20915.164000000001</v>
      </c>
      <c r="E10" s="8">
        <v>20915.164000000001</v>
      </c>
      <c r="F10" s="8">
        <v>20915.164000000001</v>
      </c>
      <c r="G10" s="8">
        <v>20915.164000000001</v>
      </c>
    </row>
    <row r="11" spans="1:7" x14ac:dyDescent="0.25">
      <c r="A11" s="14"/>
      <c r="B11" s="14" t="s">
        <v>26</v>
      </c>
      <c r="C11" s="8">
        <v>19704.735000000001</v>
      </c>
      <c r="D11" s="29">
        <v>17172.87</v>
      </c>
      <c r="E11" s="8">
        <v>19672.87</v>
      </c>
      <c r="F11" s="8">
        <v>17172.87</v>
      </c>
      <c r="G11" s="8">
        <v>17172.87</v>
      </c>
    </row>
    <row r="12" spans="1:7" s="14" customFormat="1" x14ac:dyDescent="0.25">
      <c r="B12" s="14" t="s">
        <v>27</v>
      </c>
      <c r="C12" s="8"/>
      <c r="D12" s="29">
        <v>-6000</v>
      </c>
      <c r="E12" s="8">
        <v>-8000</v>
      </c>
      <c r="F12" s="8">
        <v>-9000</v>
      </c>
      <c r="G12" s="8">
        <v>-9000</v>
      </c>
    </row>
    <row r="13" spans="1:7" x14ac:dyDescent="0.25">
      <c r="A13" s="14"/>
      <c r="B13" s="38" t="s">
        <v>28</v>
      </c>
      <c r="C13" s="39">
        <f>SUM(C5:C12)</f>
        <v>130986.054</v>
      </c>
      <c r="D13" s="40">
        <f>SUM(D5:D12)</f>
        <v>125877.489</v>
      </c>
      <c r="E13" s="39">
        <f>SUM(E5:E12)</f>
        <v>126602.489</v>
      </c>
      <c r="F13" s="39">
        <f>SUM(F5:F12)</f>
        <v>123102.489</v>
      </c>
      <c r="G13" s="39">
        <f>SUM(G5:G12)</f>
        <v>123102.489</v>
      </c>
    </row>
    <row r="14" spans="1:7" x14ac:dyDescent="0.25">
      <c r="A14" s="14"/>
      <c r="B14" s="14" t="s">
        <v>29</v>
      </c>
      <c r="C14" s="14"/>
      <c r="D14" s="14"/>
      <c r="E14" s="14"/>
      <c r="F14" s="14"/>
      <c r="G14" s="14"/>
    </row>
    <row r="15" spans="1:7" ht="18" customHeight="1" x14ac:dyDescent="0.25">
      <c r="A15" s="14"/>
      <c r="B15" s="14"/>
      <c r="C15" s="14"/>
      <c r="D15" s="14"/>
      <c r="E15" s="14"/>
      <c r="F15" s="14"/>
      <c r="G15" s="14"/>
    </row>
    <row r="16" spans="1:7" x14ac:dyDescent="0.25">
      <c r="A16" s="14"/>
      <c r="B16" s="27" t="s">
        <v>19</v>
      </c>
      <c r="C16" s="27" t="s">
        <v>2</v>
      </c>
      <c r="D16" s="27" t="s">
        <v>3</v>
      </c>
      <c r="E16" s="27" t="s">
        <v>4</v>
      </c>
      <c r="F16" s="27" t="s">
        <v>5</v>
      </c>
      <c r="G16" s="27" t="s">
        <v>6</v>
      </c>
    </row>
    <row r="17" spans="1:7" x14ac:dyDescent="0.25">
      <c r="A17" s="14"/>
      <c r="B17" s="14" t="s">
        <v>30</v>
      </c>
      <c r="C17" s="8">
        <v>1988.771</v>
      </c>
      <c r="D17" s="29">
        <v>2055.982</v>
      </c>
      <c r="E17" s="8">
        <v>2055.982</v>
      </c>
      <c r="F17" s="8">
        <v>2055.982</v>
      </c>
      <c r="G17" s="8">
        <v>2055.982</v>
      </c>
    </row>
    <row r="18" spans="1:7" x14ac:dyDescent="0.25">
      <c r="A18" s="14"/>
      <c r="B18" s="14" t="s">
        <v>31</v>
      </c>
      <c r="C18" s="8">
        <v>5530.73</v>
      </c>
      <c r="D18" s="29">
        <v>6319.7070000000003</v>
      </c>
      <c r="E18" s="8">
        <v>6319.7070000000003</v>
      </c>
      <c r="F18" s="8">
        <v>6319.7070000000003</v>
      </c>
      <c r="G18" s="8">
        <v>6319.7070000000003</v>
      </c>
    </row>
    <row r="19" spans="1:7" x14ac:dyDescent="0.25">
      <c r="A19" s="14"/>
      <c r="B19" s="14" t="s">
        <v>32</v>
      </c>
      <c r="C19" s="8">
        <v>10122.675999999999</v>
      </c>
      <c r="D19" s="29">
        <v>10235.516</v>
      </c>
      <c r="E19" s="8">
        <v>10235.516</v>
      </c>
      <c r="F19" s="8">
        <v>10235.516</v>
      </c>
      <c r="G19" s="8">
        <v>10235.516</v>
      </c>
    </row>
    <row r="20" spans="1:7" x14ac:dyDescent="0.25">
      <c r="A20" s="14"/>
      <c r="B20" s="14" t="s">
        <v>33</v>
      </c>
      <c r="C20" s="8">
        <v>8227.6039999999994</v>
      </c>
      <c r="D20" s="29">
        <v>3541.067</v>
      </c>
      <c r="E20" s="8">
        <v>-458.93299999999999</v>
      </c>
      <c r="F20" s="8">
        <v>-458.93299999999999</v>
      </c>
      <c r="G20" s="8">
        <v>-458.93299999999999</v>
      </c>
    </row>
    <row r="21" spans="1:7" x14ac:dyDescent="0.25">
      <c r="A21" s="14"/>
      <c r="B21" s="14" t="s">
        <v>34</v>
      </c>
      <c r="C21" s="8">
        <v>1552.2280000000001</v>
      </c>
      <c r="D21" s="29">
        <v>1830.931</v>
      </c>
      <c r="E21" s="8">
        <v>1830.931</v>
      </c>
      <c r="F21" s="8">
        <v>1830.931</v>
      </c>
      <c r="G21" s="8">
        <v>1830.931</v>
      </c>
    </row>
    <row r="22" spans="1:7" x14ac:dyDescent="0.25">
      <c r="A22" s="14"/>
      <c r="B22" s="14" t="s">
        <v>35</v>
      </c>
      <c r="C22" s="8">
        <v>1040.9159999999999</v>
      </c>
      <c r="D22" s="29">
        <v>1082.153</v>
      </c>
      <c r="E22" s="8">
        <v>1082.153</v>
      </c>
      <c r="F22" s="8">
        <v>1082.153</v>
      </c>
      <c r="G22" s="8">
        <v>1082.153</v>
      </c>
    </row>
    <row r="23" spans="1:7" s="14" customFormat="1" x14ac:dyDescent="0.25">
      <c r="B23" s="14" t="s">
        <v>36</v>
      </c>
      <c r="C23" s="8"/>
      <c r="D23" s="29">
        <v>-2430</v>
      </c>
      <c r="E23" s="8">
        <v>-3470</v>
      </c>
      <c r="F23" s="8">
        <v>-8130</v>
      </c>
      <c r="G23" s="8">
        <v>-11400</v>
      </c>
    </row>
    <row r="24" spans="1:7" x14ac:dyDescent="0.25">
      <c r="A24" s="14"/>
      <c r="B24" s="38" t="s">
        <v>28</v>
      </c>
      <c r="C24" s="39">
        <f>SUM(C17:C22)</f>
        <v>28462.924999999999</v>
      </c>
      <c r="D24" s="40">
        <f>SUM(D17:D23)</f>
        <v>22635.356</v>
      </c>
      <c r="E24" s="39">
        <f>SUM(E17:E23)</f>
        <v>17595.356</v>
      </c>
      <c r="F24" s="39">
        <f>SUM(F17:F23)</f>
        <v>12935.356</v>
      </c>
      <c r="G24" s="39">
        <f>SUM(G17:G23)</f>
        <v>9665.3559999999998</v>
      </c>
    </row>
    <row r="25" spans="1:7" x14ac:dyDescent="0.25">
      <c r="A25" s="14"/>
      <c r="B25" s="14" t="s">
        <v>29</v>
      </c>
      <c r="C25" s="14"/>
      <c r="D25" s="14"/>
      <c r="E25" s="14"/>
      <c r="F25" s="14"/>
      <c r="G25" s="14"/>
    </row>
    <row r="27" spans="1:7" x14ac:dyDescent="0.25">
      <c r="A27" s="14"/>
      <c r="B27" s="27" t="s">
        <v>19</v>
      </c>
      <c r="C27" s="27" t="s">
        <v>2</v>
      </c>
      <c r="D27" s="27" t="s">
        <v>3</v>
      </c>
      <c r="E27" s="27" t="s">
        <v>4</v>
      </c>
      <c r="F27" s="27" t="s">
        <v>5</v>
      </c>
      <c r="G27" s="27" t="s">
        <v>6</v>
      </c>
    </row>
    <row r="28" spans="1:7" x14ac:dyDescent="0.25">
      <c r="A28" s="14"/>
      <c r="B28" s="14" t="s">
        <v>37</v>
      </c>
      <c r="C28" s="8">
        <v>4432.7820000000002</v>
      </c>
      <c r="D28" s="29">
        <v>4556.768</v>
      </c>
      <c r="E28" s="8">
        <v>4553.3360000000002</v>
      </c>
      <c r="F28" s="8">
        <v>4556.7</v>
      </c>
      <c r="G28" s="8">
        <v>4556.7550000000001</v>
      </c>
    </row>
    <row r="29" spans="1:7" x14ac:dyDescent="0.25">
      <c r="A29" s="14"/>
      <c r="B29" s="14" t="s">
        <v>38</v>
      </c>
      <c r="C29" s="8">
        <v>9004.4159999999993</v>
      </c>
      <c r="D29" s="29">
        <v>10640.303</v>
      </c>
      <c r="E29" s="8">
        <v>10640.303</v>
      </c>
      <c r="F29" s="8">
        <v>10639.896000000001</v>
      </c>
      <c r="G29" s="8">
        <v>10639.896000000001</v>
      </c>
    </row>
    <row r="30" spans="1:7" x14ac:dyDescent="0.25">
      <c r="A30" s="14"/>
      <c r="B30" s="14" t="s">
        <v>39</v>
      </c>
      <c r="C30" s="8">
        <f>7746.565+9870.389</f>
        <v>17616.953999999998</v>
      </c>
      <c r="D30" s="29">
        <f>8052.653+8927.591</f>
        <v>16980.243999999999</v>
      </c>
      <c r="E30" s="8">
        <f>8055.185+8927.591</f>
        <v>16982.776000000002</v>
      </c>
      <c r="F30" s="8">
        <f>8055.185+8427.599</f>
        <v>16482.784</v>
      </c>
      <c r="G30" s="8">
        <f>8055.185+8427.599</f>
        <v>16482.784</v>
      </c>
    </row>
    <row r="31" spans="1:7" x14ac:dyDescent="0.25">
      <c r="B31" s="38" t="s">
        <v>28</v>
      </c>
      <c r="C31" s="39">
        <f>SUM(C28:C30)</f>
        <v>31054.151999999998</v>
      </c>
      <c r="D31" s="40">
        <f>SUM(D28:D30)</f>
        <v>32177.314999999999</v>
      </c>
      <c r="E31" s="39">
        <f>SUM(E28:E30)</f>
        <v>32176.415000000001</v>
      </c>
      <c r="F31" s="39">
        <f>SUM(F28:F30)</f>
        <v>31679.38</v>
      </c>
      <c r="G31" s="39">
        <f>SUM(G28:G30)</f>
        <v>31679.435000000001</v>
      </c>
    </row>
    <row r="32" spans="1:7" x14ac:dyDescent="0.25">
      <c r="B32" s="14" t="s">
        <v>29</v>
      </c>
      <c r="C32" s="14"/>
      <c r="D32" s="14"/>
      <c r="E32" s="14"/>
      <c r="F32" s="14"/>
      <c r="G32" s="14"/>
    </row>
    <row r="34" spans="2:7" x14ac:dyDescent="0.25">
      <c r="B34" s="27" t="s">
        <v>19</v>
      </c>
      <c r="C34" s="27" t="s">
        <v>2</v>
      </c>
      <c r="D34" s="27" t="s">
        <v>3</v>
      </c>
      <c r="E34" s="27" t="s">
        <v>4</v>
      </c>
      <c r="F34" s="27" t="s">
        <v>5</v>
      </c>
      <c r="G34" s="27" t="s">
        <v>6</v>
      </c>
    </row>
    <row r="35" spans="2:7" x14ac:dyDescent="0.25">
      <c r="B35" s="14" t="s">
        <v>40</v>
      </c>
      <c r="C35" s="8">
        <v>-5167</v>
      </c>
      <c r="D35" s="29">
        <v>-26302</v>
      </c>
      <c r="E35" s="8">
        <v>-45612</v>
      </c>
      <c r="F35" s="8">
        <v>-84261.77</v>
      </c>
      <c r="G35" s="8">
        <v>-111301.77</v>
      </c>
    </row>
    <row r="36" spans="2:7" x14ac:dyDescent="0.25">
      <c r="B36" s="14" t="s">
        <v>41</v>
      </c>
      <c r="C36" s="8">
        <v>600611</v>
      </c>
      <c r="D36" s="29">
        <v>636387</v>
      </c>
      <c r="E36" s="8">
        <v>636032</v>
      </c>
      <c r="F36" s="8">
        <v>635331.56000000006</v>
      </c>
      <c r="G36" s="8">
        <v>635331.56000000006</v>
      </c>
    </row>
    <row r="37" spans="2:7" x14ac:dyDescent="0.25">
      <c r="B37" s="14" t="s">
        <v>42</v>
      </c>
      <c r="C37" s="8">
        <v>380604</v>
      </c>
      <c r="D37" s="29">
        <v>399581</v>
      </c>
      <c r="E37" s="8">
        <v>408331</v>
      </c>
      <c r="F37" s="8">
        <v>406531.09</v>
      </c>
      <c r="G37" s="8">
        <v>406531.09</v>
      </c>
    </row>
    <row r="38" spans="2:7" x14ac:dyDescent="0.25">
      <c r="B38" s="14" t="s">
        <v>43</v>
      </c>
      <c r="C38" s="8">
        <v>105846</v>
      </c>
      <c r="D38" s="29">
        <v>111457</v>
      </c>
      <c r="E38" s="8">
        <v>109607</v>
      </c>
      <c r="F38" s="8">
        <v>109607.1</v>
      </c>
      <c r="G38" s="8">
        <v>109607.1</v>
      </c>
    </row>
    <row r="39" spans="2:7" x14ac:dyDescent="0.25">
      <c r="B39" s="14" t="s">
        <v>44</v>
      </c>
      <c r="C39" s="8">
        <v>100386</v>
      </c>
      <c r="D39" s="29">
        <v>95390</v>
      </c>
      <c r="E39" s="8">
        <v>95530</v>
      </c>
      <c r="F39" s="8">
        <v>96159.18</v>
      </c>
      <c r="G39" s="8">
        <v>110159.18</v>
      </c>
    </row>
    <row r="40" spans="2:7" x14ac:dyDescent="0.25">
      <c r="B40" s="14" t="s">
        <v>45</v>
      </c>
      <c r="C40" s="8">
        <v>-29617</v>
      </c>
      <c r="D40" s="29">
        <v>-29856</v>
      </c>
      <c r="E40" s="8">
        <v>-29856</v>
      </c>
      <c r="F40" s="8">
        <v>-29855.58</v>
      </c>
      <c r="G40" s="8">
        <v>-29855.58</v>
      </c>
    </row>
    <row r="41" spans="2:7" x14ac:dyDescent="0.25">
      <c r="B41" s="14" t="s">
        <v>46</v>
      </c>
      <c r="C41" s="8">
        <v>98431</v>
      </c>
      <c r="D41" s="29">
        <v>110008</v>
      </c>
      <c r="E41" s="8">
        <v>110008</v>
      </c>
      <c r="F41" s="8">
        <v>110008.07</v>
      </c>
      <c r="G41" s="8">
        <v>110008.07</v>
      </c>
    </row>
    <row r="42" spans="2:7" x14ac:dyDescent="0.25">
      <c r="B42" s="38" t="s">
        <v>28</v>
      </c>
      <c r="C42" s="39">
        <f>SUM(C35:C41)</f>
        <v>1251094</v>
      </c>
      <c r="D42" s="40">
        <f>SUM(D35:D41)</f>
        <v>1296665</v>
      </c>
      <c r="E42" s="39">
        <f>SUM(E35:E41)</f>
        <v>1284040</v>
      </c>
      <c r="F42" s="39">
        <f>SUM(F35:F41)</f>
        <v>1243519.6500000001</v>
      </c>
      <c r="G42" s="39">
        <f>SUM(G35:G41)</f>
        <v>1230479.6500000001</v>
      </c>
    </row>
    <row r="43" spans="2:7" x14ac:dyDescent="0.25">
      <c r="B43" s="14" t="s">
        <v>29</v>
      </c>
      <c r="C43" s="14"/>
      <c r="D43" s="14"/>
      <c r="E43" s="14"/>
      <c r="F43" s="14"/>
      <c r="G43" s="14"/>
    </row>
    <row r="45" spans="2:7" x14ac:dyDescent="0.25">
      <c r="B45" s="27" t="s">
        <v>19</v>
      </c>
      <c r="C45" s="27" t="s">
        <v>2</v>
      </c>
      <c r="D45" s="27" t="s">
        <v>3</v>
      </c>
      <c r="E45" s="27" t="s">
        <v>4</v>
      </c>
      <c r="F45" s="27" t="s">
        <v>5</v>
      </c>
      <c r="G45" s="27" t="s">
        <v>6</v>
      </c>
    </row>
    <row r="46" spans="2:7" x14ac:dyDescent="0.25">
      <c r="B46" s="14" t="s">
        <v>47</v>
      </c>
      <c r="C46" s="8">
        <v>20708.441999999999</v>
      </c>
      <c r="D46" s="29">
        <v>16513.374</v>
      </c>
      <c r="E46" s="8">
        <v>-4343.6260000000002</v>
      </c>
      <c r="F46" s="8">
        <v>-51360.625999999997</v>
      </c>
      <c r="G46" s="8">
        <v>-77129.626000000004</v>
      </c>
    </row>
    <row r="47" spans="2:7" x14ac:dyDescent="0.25">
      <c r="B47" s="14" t="s">
        <v>48</v>
      </c>
      <c r="C47" s="8">
        <v>322951.28399999999</v>
      </c>
      <c r="D47" s="29">
        <v>350705.61700000003</v>
      </c>
      <c r="E47" s="8">
        <v>360805.61700000003</v>
      </c>
      <c r="F47" s="8">
        <v>360805.61700000003</v>
      </c>
      <c r="G47" s="8">
        <v>360805.61700000003</v>
      </c>
    </row>
    <row r="48" spans="2:7" x14ac:dyDescent="0.25">
      <c r="B48" s="14" t="s">
        <v>49</v>
      </c>
      <c r="C48" s="8">
        <v>380038.446</v>
      </c>
      <c r="D48" s="29">
        <v>408400.413</v>
      </c>
      <c r="E48" s="8">
        <v>408475.413</v>
      </c>
      <c r="F48" s="8">
        <v>408475.413</v>
      </c>
      <c r="G48" s="8">
        <v>408475.413</v>
      </c>
    </row>
    <row r="49" spans="2:7" x14ac:dyDescent="0.25">
      <c r="B49" s="14" t="s">
        <v>50</v>
      </c>
      <c r="C49" s="8">
        <v>248825.38</v>
      </c>
      <c r="D49" s="29">
        <v>257839.36600000001</v>
      </c>
      <c r="E49" s="8">
        <v>257839.36600000001</v>
      </c>
      <c r="F49" s="8">
        <v>257839.36600000001</v>
      </c>
      <c r="G49" s="8">
        <v>257839.36600000001</v>
      </c>
    </row>
    <row r="50" spans="2:7" x14ac:dyDescent="0.25">
      <c r="B50" s="14" t="s">
        <v>51</v>
      </c>
      <c r="C50" s="8">
        <v>449.83600000000001</v>
      </c>
      <c r="D50" s="29">
        <v>12418.614</v>
      </c>
      <c r="E50" s="8">
        <v>17537.313999999998</v>
      </c>
      <c r="F50" s="8">
        <v>22871.013999999999</v>
      </c>
      <c r="G50" s="8">
        <v>28428.714</v>
      </c>
    </row>
    <row r="51" spans="2:7" x14ac:dyDescent="0.25">
      <c r="B51" s="14" t="s">
        <v>52</v>
      </c>
      <c r="C51" s="8">
        <v>78733.091</v>
      </c>
      <c r="D51" s="29">
        <v>82620.656000000003</v>
      </c>
      <c r="E51" s="8">
        <v>83870.656000000003</v>
      </c>
      <c r="F51" s="8">
        <v>85120.656000000003</v>
      </c>
      <c r="G51" s="8">
        <v>85120.656000000003</v>
      </c>
    </row>
    <row r="52" spans="2:7" x14ac:dyDescent="0.25">
      <c r="B52" s="14" t="s">
        <v>53</v>
      </c>
      <c r="C52" s="8">
        <v>78331.652000000002</v>
      </c>
      <c r="D52" s="29">
        <v>81649.138999999996</v>
      </c>
      <c r="E52" s="8">
        <v>81649.138999999996</v>
      </c>
      <c r="F52" s="8">
        <v>81649.138999999996</v>
      </c>
      <c r="G52" s="8">
        <v>81649.138999999996</v>
      </c>
    </row>
    <row r="53" spans="2:7" x14ac:dyDescent="0.25">
      <c r="B53" s="38" t="s">
        <v>28</v>
      </c>
      <c r="C53" s="39">
        <f>SUM(C46:C52)</f>
        <v>1130038.1310000001</v>
      </c>
      <c r="D53" s="40">
        <f>SUM(D46:D52)</f>
        <v>1210147.179</v>
      </c>
      <c r="E53" s="39">
        <f>SUM(E46:E52)</f>
        <v>1205833.8790000002</v>
      </c>
      <c r="F53" s="39">
        <f>SUM(F46:F52)</f>
        <v>1165400.5790000001</v>
      </c>
      <c r="G53" s="39">
        <f>SUM(G46:G52)</f>
        <v>1145189.2790000001</v>
      </c>
    </row>
    <row r="54" spans="2:7" x14ac:dyDescent="0.25">
      <c r="B54" s="14" t="s">
        <v>29</v>
      </c>
      <c r="C54" s="14"/>
      <c r="D54" s="14"/>
      <c r="E54" s="14"/>
      <c r="F54" s="14"/>
      <c r="G54" s="14"/>
    </row>
    <row r="55" spans="2:7" x14ac:dyDescent="0.25">
      <c r="B55" s="14"/>
      <c r="C55" s="4"/>
      <c r="D55" s="4"/>
      <c r="E55" s="4"/>
      <c r="F55" s="4"/>
      <c r="G55" s="4"/>
    </row>
    <row r="56" spans="2:7" x14ac:dyDescent="0.25">
      <c r="B56" s="27" t="s">
        <v>19</v>
      </c>
      <c r="C56" s="27" t="s">
        <v>2</v>
      </c>
      <c r="D56" s="27" t="s">
        <v>3</v>
      </c>
      <c r="E56" s="27" t="s">
        <v>4</v>
      </c>
      <c r="F56" s="27" t="s">
        <v>5</v>
      </c>
      <c r="G56" s="27" t="s">
        <v>6</v>
      </c>
    </row>
    <row r="57" spans="2:7" x14ac:dyDescent="0.25">
      <c r="B57" s="14" t="s">
        <v>54</v>
      </c>
      <c r="C57" s="8">
        <v>4450.3879999999999</v>
      </c>
      <c r="D57" s="29">
        <v>6148</v>
      </c>
      <c r="E57" s="8">
        <v>3966</v>
      </c>
      <c r="F57" s="8">
        <v>1605</v>
      </c>
      <c r="G57" s="8">
        <v>-143</v>
      </c>
    </row>
    <row r="58" spans="2:7" x14ac:dyDescent="0.25">
      <c r="B58" s="14" t="s">
        <v>55</v>
      </c>
      <c r="C58" s="8">
        <v>124354.9</v>
      </c>
      <c r="D58" s="29">
        <v>133074.34099999999</v>
      </c>
      <c r="E58" s="8">
        <v>140395.03200000001</v>
      </c>
      <c r="F58" s="8">
        <v>142792.31</v>
      </c>
      <c r="G58" s="8">
        <v>142792.31</v>
      </c>
    </row>
    <row r="59" spans="2:7" s="14" customFormat="1" x14ac:dyDescent="0.25">
      <c r="B59" s="3" t="s">
        <v>56</v>
      </c>
      <c r="C59" s="8">
        <v>121.628</v>
      </c>
      <c r="D59" s="29">
        <v>317.87599999999998</v>
      </c>
      <c r="E59" s="8">
        <v>317.87599999999998</v>
      </c>
      <c r="F59" s="8">
        <v>317.87599999999998</v>
      </c>
      <c r="G59" s="8">
        <v>317.87599999999998</v>
      </c>
    </row>
    <row r="60" spans="2:7" s="14" customFormat="1" x14ac:dyDescent="0.25">
      <c r="B60" s="3" t="s">
        <v>57</v>
      </c>
      <c r="C60" s="8">
        <v>0</v>
      </c>
      <c r="D60" s="29">
        <v>0</v>
      </c>
      <c r="E60" s="8">
        <v>0</v>
      </c>
      <c r="F60" s="8">
        <v>0</v>
      </c>
      <c r="G60" s="8">
        <v>0</v>
      </c>
    </row>
    <row r="61" spans="2:7" x14ac:dyDescent="0.25">
      <c r="B61" s="14" t="s">
        <v>58</v>
      </c>
      <c r="C61" s="8">
        <v>16902.47</v>
      </c>
      <c r="D61" s="29">
        <v>20817.626</v>
      </c>
      <c r="E61" s="8">
        <v>20317.626</v>
      </c>
      <c r="F61" s="8">
        <v>19817.626</v>
      </c>
      <c r="G61" s="8">
        <v>19817.626</v>
      </c>
    </row>
    <row r="62" spans="2:7" x14ac:dyDescent="0.25">
      <c r="B62" s="38" t="s">
        <v>28</v>
      </c>
      <c r="C62" s="39">
        <f>SUM(C57:C61)</f>
        <v>145829.386</v>
      </c>
      <c r="D62" s="40">
        <f>SUM(D57:D61)</f>
        <v>160357.84299999996</v>
      </c>
      <c r="E62" s="39">
        <f>SUM(E57:E61)</f>
        <v>164996.53399999999</v>
      </c>
      <c r="F62" s="39">
        <f>SUM(F57:F61)</f>
        <v>164532.81199999998</v>
      </c>
      <c r="G62" s="39">
        <f>SUM(G57:G61)</f>
        <v>162784.81199999998</v>
      </c>
    </row>
    <row r="63" spans="2:7" ht="29.25" customHeight="1" x14ac:dyDescent="0.25">
      <c r="B63" s="67" t="s">
        <v>59</v>
      </c>
      <c r="C63" s="67"/>
      <c r="D63" s="67"/>
      <c r="E63" s="67"/>
      <c r="F63" s="67"/>
      <c r="G63" s="67"/>
    </row>
    <row r="65" spans="2:7" x14ac:dyDescent="0.25">
      <c r="B65" s="27" t="s">
        <v>19</v>
      </c>
      <c r="C65" s="27" t="s">
        <v>2</v>
      </c>
      <c r="D65" s="27" t="s">
        <v>3</v>
      </c>
      <c r="E65" s="27" t="s">
        <v>4</v>
      </c>
      <c r="F65" s="27" t="s">
        <v>5</v>
      </c>
      <c r="G65" s="27" t="s">
        <v>6</v>
      </c>
    </row>
    <row r="66" spans="2:7" x14ac:dyDescent="0.25">
      <c r="B66" s="14" t="s">
        <v>60</v>
      </c>
      <c r="C66" s="8">
        <v>3615.7860000000001</v>
      </c>
      <c r="D66" s="29">
        <v>5783</v>
      </c>
      <c r="E66" s="8">
        <v>3899</v>
      </c>
      <c r="F66" s="8">
        <v>2387</v>
      </c>
      <c r="G66" s="8">
        <v>2385</v>
      </c>
    </row>
    <row r="67" spans="2:7" x14ac:dyDescent="0.25">
      <c r="B67" s="14" t="s">
        <v>61</v>
      </c>
      <c r="C67" s="8">
        <v>1452.24</v>
      </c>
      <c r="D67" s="29">
        <v>1511.1610000000001</v>
      </c>
      <c r="E67" s="8">
        <v>1511.1610000000001</v>
      </c>
      <c r="F67" s="8">
        <v>1511.1610000000001</v>
      </c>
      <c r="G67" s="8">
        <v>1511.1610000000001</v>
      </c>
    </row>
    <row r="68" spans="2:7" x14ac:dyDescent="0.25">
      <c r="B68" s="14" t="s">
        <v>62</v>
      </c>
      <c r="C68" s="8">
        <v>-2882.76</v>
      </c>
      <c r="D68" s="29">
        <v>-2817.4349999999999</v>
      </c>
      <c r="E68" s="8">
        <v>-2817.4349999999999</v>
      </c>
      <c r="F68" s="8">
        <v>-2817.4349999999999</v>
      </c>
      <c r="G68" s="8">
        <v>-2817.4349999999999</v>
      </c>
    </row>
    <row r="69" spans="2:7" x14ac:dyDescent="0.25">
      <c r="B69" s="14" t="s">
        <v>63</v>
      </c>
      <c r="C69" s="8">
        <v>11848.6</v>
      </c>
      <c r="D69" s="29">
        <v>12537.722</v>
      </c>
      <c r="E69" s="8">
        <v>12537.722</v>
      </c>
      <c r="F69" s="8">
        <v>12537.722</v>
      </c>
      <c r="G69" s="8">
        <v>12537.722</v>
      </c>
    </row>
    <row r="70" spans="2:7" x14ac:dyDescent="0.25">
      <c r="B70" s="14" t="s">
        <v>64</v>
      </c>
      <c r="C70" s="8">
        <v>10825.333000000001</v>
      </c>
      <c r="D70" s="29">
        <v>11021.987999999999</v>
      </c>
      <c r="E70" s="8">
        <v>11021.987999999999</v>
      </c>
      <c r="F70" s="8">
        <v>11021.987999999999</v>
      </c>
      <c r="G70" s="8">
        <v>11021.987999999999</v>
      </c>
    </row>
    <row r="71" spans="2:7" x14ac:dyDescent="0.25">
      <c r="B71" s="14" t="s">
        <v>65</v>
      </c>
      <c r="C71" s="8">
        <v>57650.646999999997</v>
      </c>
      <c r="D71" s="29">
        <v>54143</v>
      </c>
      <c r="E71" s="8">
        <v>52943</v>
      </c>
      <c r="F71" s="8">
        <v>48483</v>
      </c>
      <c r="G71" s="8">
        <v>44358</v>
      </c>
    </row>
    <row r="72" spans="2:7" x14ac:dyDescent="0.25">
      <c r="B72" s="14" t="s">
        <v>66</v>
      </c>
      <c r="C72" s="8">
        <v>0</v>
      </c>
      <c r="D72" s="29">
        <v>0</v>
      </c>
      <c r="E72" s="8">
        <v>0</v>
      </c>
      <c r="F72" s="8">
        <v>0</v>
      </c>
      <c r="G72" s="8">
        <v>0</v>
      </c>
    </row>
    <row r="73" spans="2:7" x14ac:dyDescent="0.25">
      <c r="B73" s="38" t="s">
        <v>28</v>
      </c>
      <c r="C73" s="39">
        <f>SUM(C66:C72)</f>
        <v>82509.84599999999</v>
      </c>
      <c r="D73" s="40">
        <f>SUM(D66:D72)</f>
        <v>82179.436000000002</v>
      </c>
      <c r="E73" s="39">
        <f>SUM(E66:E72)</f>
        <v>79095.436000000002</v>
      </c>
      <c r="F73" s="39">
        <f>SUM(F66:F72)</f>
        <v>73123.436000000002</v>
      </c>
      <c r="G73" s="39">
        <f>SUM(G66:G72)</f>
        <v>68996.436000000002</v>
      </c>
    </row>
    <row r="74" spans="2:7" ht="29.25" customHeight="1" x14ac:dyDescent="0.25">
      <c r="B74" s="67" t="s">
        <v>67</v>
      </c>
      <c r="C74" s="67"/>
      <c r="D74" s="67"/>
      <c r="E74" s="67"/>
      <c r="F74" s="67"/>
      <c r="G74" s="67"/>
    </row>
    <row r="76" spans="2:7" x14ac:dyDescent="0.25">
      <c r="B76" s="27" t="s">
        <v>19</v>
      </c>
      <c r="C76" s="27" t="s">
        <v>2</v>
      </c>
      <c r="D76" s="27" t="s">
        <v>3</v>
      </c>
      <c r="E76" s="27" t="s">
        <v>4</v>
      </c>
      <c r="F76" s="27" t="s">
        <v>5</v>
      </c>
      <c r="G76" s="27" t="s">
        <v>6</v>
      </c>
    </row>
    <row r="77" spans="2:7" x14ac:dyDescent="0.25">
      <c r="B77" s="14" t="s">
        <v>68</v>
      </c>
      <c r="C77" s="8">
        <v>-11647.999</v>
      </c>
      <c r="D77" s="8">
        <v>-11210</v>
      </c>
      <c r="E77" s="8">
        <v>-10825</v>
      </c>
      <c r="F77" s="8">
        <v>-10409</v>
      </c>
      <c r="G77" s="8">
        <v>-9992</v>
      </c>
    </row>
    <row r="78" spans="2:7" x14ac:dyDescent="0.25">
      <c r="B78" s="3" t="s">
        <v>69</v>
      </c>
      <c r="C78" s="8">
        <v>-2282</v>
      </c>
      <c r="D78" s="8">
        <v>1668</v>
      </c>
      <c r="E78" s="8">
        <v>1668</v>
      </c>
      <c r="F78" s="8">
        <v>1668</v>
      </c>
      <c r="G78" s="8">
        <v>1668</v>
      </c>
    </row>
    <row r="79" spans="2:7" x14ac:dyDescent="0.25">
      <c r="B79" s="3" t="s">
        <v>70</v>
      </c>
      <c r="C79" s="8">
        <v>31321.960999999999</v>
      </c>
      <c r="D79" s="8">
        <v>-35488.851000000002</v>
      </c>
      <c r="E79" s="8">
        <v>-244533.20300000001</v>
      </c>
      <c r="F79" s="8">
        <v>-160461.79999999999</v>
      </c>
      <c r="G79" s="8">
        <v>-122759.2</v>
      </c>
    </row>
    <row r="80" spans="2:7" x14ac:dyDescent="0.25">
      <c r="B80" s="3" t="s">
        <v>71</v>
      </c>
      <c r="C80" s="8">
        <v>17094.5</v>
      </c>
      <c r="D80" s="8">
        <v>17745.5</v>
      </c>
      <c r="E80" s="8">
        <v>17745.5</v>
      </c>
      <c r="F80" s="8">
        <v>17745.5</v>
      </c>
      <c r="G80" s="8">
        <v>17745.5</v>
      </c>
    </row>
    <row r="81" spans="2:7" s="14" customFormat="1" x14ac:dyDescent="0.25">
      <c r="B81" s="3" t="s">
        <v>72</v>
      </c>
      <c r="C81" s="8">
        <v>-104999.6</v>
      </c>
      <c r="D81" s="8">
        <v>-111020.344</v>
      </c>
      <c r="E81" s="8">
        <v>-111020.344</v>
      </c>
      <c r="F81" s="8">
        <v>-111020.344</v>
      </c>
      <c r="G81" s="8">
        <v>-111020.344</v>
      </c>
    </row>
    <row r="82" spans="2:7" s="14" customFormat="1" x14ac:dyDescent="0.25">
      <c r="B82" s="3" t="s">
        <v>73</v>
      </c>
      <c r="C82" s="8">
        <v>11804.7</v>
      </c>
      <c r="D82" s="8">
        <v>12019.6</v>
      </c>
      <c r="E82" s="8">
        <v>12019.6</v>
      </c>
      <c r="F82" s="8">
        <v>12019.6</v>
      </c>
      <c r="G82" s="8">
        <v>12019.6</v>
      </c>
    </row>
    <row r="83" spans="2:7" s="14" customFormat="1" x14ac:dyDescent="0.25">
      <c r="B83" s="3" t="s">
        <v>74</v>
      </c>
      <c r="C83" s="8">
        <v>25510</v>
      </c>
      <c r="D83" s="8">
        <v>26511</v>
      </c>
      <c r="E83" s="8">
        <v>26511</v>
      </c>
      <c r="F83" s="8">
        <v>31511</v>
      </c>
      <c r="G83" s="8">
        <v>36511</v>
      </c>
    </row>
    <row r="84" spans="2:7" s="14" customFormat="1" x14ac:dyDescent="0.25">
      <c r="B84" s="3" t="s">
        <v>75</v>
      </c>
      <c r="C84" s="8">
        <v>49308.7</v>
      </c>
      <c r="D84" s="8">
        <v>50093.8</v>
      </c>
      <c r="E84" s="8">
        <v>49593.8</v>
      </c>
      <c r="F84" s="8">
        <v>49593.8</v>
      </c>
      <c r="G84" s="8">
        <v>49593.8</v>
      </c>
    </row>
    <row r="85" spans="2:7" x14ac:dyDescent="0.25">
      <c r="B85" s="3" t="s">
        <v>76</v>
      </c>
      <c r="C85" s="8">
        <v>26865</v>
      </c>
      <c r="D85" s="8">
        <v>32865</v>
      </c>
      <c r="E85" s="8">
        <v>32865</v>
      </c>
      <c r="F85" s="8">
        <v>32865</v>
      </c>
      <c r="G85" s="8">
        <v>32865</v>
      </c>
    </row>
    <row r="86" spans="2:7" x14ac:dyDescent="0.25">
      <c r="B86" s="3" t="s">
        <v>77</v>
      </c>
      <c r="C86" s="8">
        <v>-17360</v>
      </c>
      <c r="D86" s="8">
        <v>-17360</v>
      </c>
      <c r="E86" s="8">
        <v>-17360</v>
      </c>
      <c r="F86" s="8">
        <v>-17360</v>
      </c>
      <c r="G86" s="8">
        <v>-17360</v>
      </c>
    </row>
    <row r="87" spans="2:7" x14ac:dyDescent="0.25">
      <c r="B87" s="3" t="s">
        <v>78</v>
      </c>
      <c r="C87" s="8">
        <v>37676</v>
      </c>
      <c r="D87" s="8">
        <v>43152</v>
      </c>
      <c r="E87" s="8">
        <v>43151</v>
      </c>
      <c r="F87" s="8">
        <v>43151</v>
      </c>
      <c r="G87" s="8">
        <v>43118</v>
      </c>
    </row>
    <row r="88" spans="2:7" x14ac:dyDescent="0.25">
      <c r="B88" s="38" t="s">
        <v>28</v>
      </c>
      <c r="C88" s="39">
        <f>SUM(C77:C87)</f>
        <v>63291.261999999988</v>
      </c>
      <c r="D88" s="40">
        <f>SUM(D77:D87)</f>
        <v>8975.7050000000017</v>
      </c>
      <c r="E88" s="39">
        <f>SUM(E77:E87)</f>
        <v>-200184.64700000006</v>
      </c>
      <c r="F88" s="39">
        <f>SUM(F77:F87)</f>
        <v>-110697.24399999995</v>
      </c>
      <c r="G88" s="39">
        <f>SUM(G77:G87)</f>
        <v>-67610.643999999986</v>
      </c>
    </row>
    <row r="89" spans="2:7" x14ac:dyDescent="0.25">
      <c r="B89" s="67" t="s">
        <v>79</v>
      </c>
      <c r="C89" s="67"/>
      <c r="D89" s="67"/>
      <c r="E89" s="67"/>
      <c r="F89" s="67"/>
      <c r="G89" s="67"/>
    </row>
    <row r="90" spans="2:7" s="14" customFormat="1" x14ac:dyDescent="0.25">
      <c r="B90" s="25"/>
      <c r="C90" s="25"/>
      <c r="D90" s="25"/>
      <c r="E90" s="25"/>
      <c r="F90" s="25"/>
      <c r="G90" s="25"/>
    </row>
    <row r="91" spans="2:7" x14ac:dyDescent="0.25">
      <c r="B91" s="14" t="s">
        <v>18</v>
      </c>
      <c r="C91" s="14"/>
      <c r="D91" s="14"/>
      <c r="E91" s="14"/>
      <c r="F91" s="14"/>
      <c r="G91" s="14"/>
    </row>
    <row r="92" spans="2:7" x14ac:dyDescent="0.25">
      <c r="B92" s="27" t="s">
        <v>19</v>
      </c>
      <c r="C92" s="27" t="s">
        <v>2</v>
      </c>
      <c r="D92" s="27" t="s">
        <v>3</v>
      </c>
      <c r="E92" s="27" t="s">
        <v>4</v>
      </c>
      <c r="F92" s="27" t="s">
        <v>5</v>
      </c>
      <c r="G92" s="27" t="s">
        <v>6</v>
      </c>
    </row>
    <row r="93" spans="2:7" x14ac:dyDescent="0.25">
      <c r="B93" s="14" t="s">
        <v>0</v>
      </c>
      <c r="C93" s="23">
        <v>130986.054</v>
      </c>
      <c r="D93" s="29">
        <v>125877.489</v>
      </c>
      <c r="E93" s="23">
        <v>126602.489</v>
      </c>
      <c r="F93" s="23">
        <v>123102.489</v>
      </c>
      <c r="G93" s="23">
        <v>123102.489</v>
      </c>
    </row>
    <row r="94" spans="2:7" x14ac:dyDescent="0.25">
      <c r="B94" s="14" t="s">
        <v>11</v>
      </c>
      <c r="C94" s="23">
        <v>28462.924999999999</v>
      </c>
      <c r="D94" s="29">
        <v>22635.356</v>
      </c>
      <c r="E94" s="23">
        <v>17595.356</v>
      </c>
      <c r="F94" s="23">
        <v>12935.356</v>
      </c>
      <c r="G94" s="23">
        <v>9665.3559999999998</v>
      </c>
    </row>
    <row r="95" spans="2:7" x14ac:dyDescent="0.25">
      <c r="B95" s="14" t="s">
        <v>12</v>
      </c>
      <c r="C95" s="23">
        <v>31054.151999999998</v>
      </c>
      <c r="D95" s="29">
        <v>32177.314999999999</v>
      </c>
      <c r="E95" s="23">
        <v>32176.415000000001</v>
      </c>
      <c r="F95" s="23">
        <v>31679.38</v>
      </c>
      <c r="G95" s="23">
        <v>31679.435000000001</v>
      </c>
    </row>
    <row r="96" spans="2:7" x14ac:dyDescent="0.25">
      <c r="B96" s="14" t="s">
        <v>80</v>
      </c>
      <c r="C96" s="23">
        <v>1251094</v>
      </c>
      <c r="D96" s="29">
        <v>1296665</v>
      </c>
      <c r="E96" s="23">
        <v>1284040</v>
      </c>
      <c r="F96" s="23">
        <v>1243519.6500000001</v>
      </c>
      <c r="G96" s="23">
        <v>1230479.6500000001</v>
      </c>
    </row>
    <row r="97" spans="2:7" x14ac:dyDescent="0.25">
      <c r="B97" s="14" t="s">
        <v>81</v>
      </c>
      <c r="C97" s="23">
        <v>1130038.1310000001</v>
      </c>
      <c r="D97" s="29">
        <v>1210147.179</v>
      </c>
      <c r="E97" s="23">
        <v>1205833.8790000002</v>
      </c>
      <c r="F97" s="23">
        <v>1165400.5790000001</v>
      </c>
      <c r="G97" s="23">
        <v>1145189.2790000001</v>
      </c>
    </row>
    <row r="98" spans="2:7" x14ac:dyDescent="0.25">
      <c r="B98" s="14" t="s">
        <v>15</v>
      </c>
      <c r="C98" s="23">
        <v>145829.386</v>
      </c>
      <c r="D98" s="29">
        <v>160357.84299999996</v>
      </c>
      <c r="E98" s="23">
        <v>164996.53399999999</v>
      </c>
      <c r="F98" s="23">
        <v>164532.81199999998</v>
      </c>
      <c r="G98" s="23">
        <v>162784.81199999998</v>
      </c>
    </row>
    <row r="99" spans="2:7" x14ac:dyDescent="0.25">
      <c r="B99" s="14" t="s">
        <v>16</v>
      </c>
      <c r="C99" s="23">
        <v>82509.84599999999</v>
      </c>
      <c r="D99" s="29">
        <v>82179.436000000002</v>
      </c>
      <c r="E99" s="23">
        <v>79095.436000000002</v>
      </c>
      <c r="F99" s="23">
        <v>73123.436000000002</v>
      </c>
      <c r="G99" s="23">
        <v>68996.436000000002</v>
      </c>
    </row>
    <row r="100" spans="2:7" x14ac:dyDescent="0.25">
      <c r="B100" s="14" t="s">
        <v>82</v>
      </c>
      <c r="C100" s="23">
        <v>63291.261999999988</v>
      </c>
      <c r="D100" s="29">
        <v>8975.7050000000017</v>
      </c>
      <c r="E100" s="23">
        <v>-200184.64700000006</v>
      </c>
      <c r="F100" s="23">
        <v>-110697.24399999995</v>
      </c>
      <c r="G100" s="23">
        <v>-67610.643999999986</v>
      </c>
    </row>
    <row r="101" spans="2:7" x14ac:dyDescent="0.25">
      <c r="B101" s="38" t="s">
        <v>28</v>
      </c>
      <c r="C101" s="39">
        <f>SUM(C93:C100)</f>
        <v>2863265.7560000001</v>
      </c>
      <c r="D101" s="40">
        <f>SUM(D93:D100)</f>
        <v>2939015.3229999999</v>
      </c>
      <c r="E101" s="39">
        <f>SUM(E93:E100)</f>
        <v>2710155.4620000008</v>
      </c>
      <c r="F101" s="39">
        <f t="shared" ref="F101" si="0">SUM(F93:F100)</f>
        <v>2703596.4580000006</v>
      </c>
      <c r="G101" s="39">
        <f>SUM(G93:G100)</f>
        <v>2704286.8130000005</v>
      </c>
    </row>
    <row r="102" spans="2:7" x14ac:dyDescent="0.25">
      <c r="B102" s="2" t="s">
        <v>10</v>
      </c>
      <c r="C102" s="2"/>
      <c r="D102" s="45">
        <f>D101-$C$101</f>
        <v>75749.566999999806</v>
      </c>
      <c r="E102" s="45">
        <f t="shared" ref="E102:G102" si="1">E101-$C$101</f>
        <v>-153110.2939999993</v>
      </c>
      <c r="F102" s="45">
        <f t="shared" si="1"/>
        <v>-159669.29799999949</v>
      </c>
      <c r="G102" s="45">
        <f t="shared" si="1"/>
        <v>-158978.9429999995</v>
      </c>
    </row>
  </sheetData>
  <mergeCells count="3">
    <mergeCell ref="B63:G63"/>
    <mergeCell ref="B74:G74"/>
    <mergeCell ref="B89:G89"/>
  </mergeCells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5"/>
  <sheetViews>
    <sheetView zoomScaleNormal="100" workbookViewId="0">
      <selection activeCell="D147" sqref="D147"/>
    </sheetView>
  </sheetViews>
  <sheetFormatPr baseColWidth="10" defaultColWidth="11.42578125" defaultRowHeight="15" x14ac:dyDescent="0.25"/>
  <cols>
    <col min="1" max="1" width="2.5703125" customWidth="1"/>
    <col min="2" max="2" width="28.85546875" bestFit="1" customWidth="1"/>
    <col min="3" max="6" width="12.85546875" bestFit="1" customWidth="1"/>
  </cols>
  <sheetData>
    <row r="1" spans="1:6" ht="21" x14ac:dyDescent="0.35">
      <c r="A1" s="48" t="s">
        <v>218</v>
      </c>
      <c r="B1" s="48"/>
      <c r="C1" s="14"/>
      <c r="D1" s="14"/>
      <c r="E1" s="14"/>
      <c r="F1" s="14"/>
    </row>
    <row r="3" spans="1:6" x14ac:dyDescent="0.25">
      <c r="A3" s="14"/>
      <c r="B3" s="14" t="s">
        <v>0</v>
      </c>
      <c r="C3" s="14"/>
      <c r="D3" s="14"/>
      <c r="E3" s="14"/>
      <c r="F3" s="14"/>
    </row>
    <row r="4" spans="1:6" x14ac:dyDescent="0.25">
      <c r="A4" s="14"/>
      <c r="B4" s="30" t="s">
        <v>83</v>
      </c>
      <c r="C4" s="27" t="s">
        <v>3</v>
      </c>
      <c r="D4" s="27" t="s">
        <v>4</v>
      </c>
      <c r="E4" s="27" t="s">
        <v>5</v>
      </c>
      <c r="F4" s="27" t="s">
        <v>6</v>
      </c>
    </row>
    <row r="5" spans="1:6" x14ac:dyDescent="0.25">
      <c r="A5" s="14"/>
      <c r="B5" s="2" t="s">
        <v>84</v>
      </c>
      <c r="C5" s="18"/>
      <c r="D5" s="6"/>
      <c r="E5" s="6"/>
      <c r="F5" s="6"/>
    </row>
    <row r="6" spans="1:6" x14ac:dyDescent="0.25">
      <c r="A6" s="14"/>
      <c r="B6" s="14" t="s">
        <v>85</v>
      </c>
      <c r="C6" s="18">
        <f>2532806/1000</f>
        <v>2532.806</v>
      </c>
      <c r="D6" s="6">
        <f t="shared" ref="D6:F6" si="0">2532806/1000</f>
        <v>2532.806</v>
      </c>
      <c r="E6" s="6">
        <f t="shared" si="0"/>
        <v>2532.806</v>
      </c>
      <c r="F6" s="6">
        <f t="shared" si="0"/>
        <v>2532.806</v>
      </c>
    </row>
    <row r="7" spans="1:6" x14ac:dyDescent="0.25">
      <c r="A7" s="14"/>
      <c r="B7" s="14" t="s">
        <v>86</v>
      </c>
      <c r="C7" s="18">
        <f>1779500/1000</f>
        <v>1779.5</v>
      </c>
      <c r="D7" s="6">
        <f t="shared" ref="D7:F7" si="1">1779500/1000</f>
        <v>1779.5</v>
      </c>
      <c r="E7" s="6">
        <f t="shared" si="1"/>
        <v>1779.5</v>
      </c>
      <c r="F7" s="6">
        <f t="shared" si="1"/>
        <v>1779.5</v>
      </c>
    </row>
    <row r="8" spans="1:6" x14ac:dyDescent="0.25">
      <c r="A8" s="14"/>
      <c r="B8" s="14" t="s">
        <v>87</v>
      </c>
      <c r="C8" s="18">
        <v>8000</v>
      </c>
      <c r="D8" s="6">
        <v>12000</v>
      </c>
      <c r="E8" s="6">
        <v>18000</v>
      </c>
      <c r="F8" s="6">
        <v>18000</v>
      </c>
    </row>
    <row r="9" spans="1:6" x14ac:dyDescent="0.25">
      <c r="A9" s="14"/>
      <c r="B9" s="1" t="s">
        <v>88</v>
      </c>
      <c r="C9" s="16">
        <f>SUM(C6:C8)</f>
        <v>12312.306</v>
      </c>
      <c r="D9" s="9">
        <f>SUM(D6:D8)</f>
        <v>16312.306</v>
      </c>
      <c r="E9" s="9">
        <f>SUM(E6:E8)</f>
        <v>22312.306</v>
      </c>
      <c r="F9" s="9">
        <f>SUM(F6:F8)</f>
        <v>22312.306</v>
      </c>
    </row>
    <row r="10" spans="1:6" x14ac:dyDescent="0.25">
      <c r="A10" s="14"/>
      <c r="B10" s="2" t="s">
        <v>89</v>
      </c>
      <c r="C10" s="18"/>
      <c r="D10" s="6"/>
      <c r="E10" s="6"/>
      <c r="F10" s="6"/>
    </row>
    <row r="11" spans="1:6" x14ac:dyDescent="0.25">
      <c r="A11" s="14"/>
      <c r="B11" s="14" t="s">
        <v>90</v>
      </c>
      <c r="C11" s="18">
        <v>-19670.8</v>
      </c>
      <c r="D11" s="6">
        <v>-22945.8</v>
      </c>
      <c r="E11" s="6">
        <v>-32445.8</v>
      </c>
      <c r="F11" s="6">
        <v>-32445.8</v>
      </c>
    </row>
    <row r="12" spans="1:6" x14ac:dyDescent="0.25">
      <c r="A12" s="14"/>
      <c r="B12" s="14" t="s">
        <v>91</v>
      </c>
      <c r="C12" s="18">
        <f>'Spesifiserte behov og rammered.'!C7</f>
        <v>2250</v>
      </c>
      <c r="D12" s="6">
        <f>'Spesifiserte behov og rammered.'!D7</f>
        <v>2250</v>
      </c>
      <c r="E12" s="6">
        <f>'Spesifiserte behov og rammered.'!E7</f>
        <v>2250</v>
      </c>
      <c r="F12" s="6">
        <f>'Spesifiserte behov og rammered.'!F7</f>
        <v>2250</v>
      </c>
    </row>
    <row r="13" spans="1:6" x14ac:dyDescent="0.25">
      <c r="A13" s="14"/>
      <c r="B13" s="14" t="s">
        <v>92</v>
      </c>
      <c r="C13" s="18">
        <f>'Spesifiserte behov og rammered.'!C8</f>
        <v>0</v>
      </c>
      <c r="D13" s="6">
        <f>'Spesifiserte behov og rammered.'!D8</f>
        <v>0</v>
      </c>
      <c r="E13" s="6">
        <f>'Spesifiserte behov og rammered.'!E8</f>
        <v>0</v>
      </c>
      <c r="F13" s="6">
        <f>'Spesifiserte behov og rammered.'!F8</f>
        <v>0</v>
      </c>
    </row>
    <row r="14" spans="1:6" x14ac:dyDescent="0.25">
      <c r="A14" s="14"/>
      <c r="B14" s="1" t="s">
        <v>93</v>
      </c>
      <c r="C14" s="16">
        <f>C11+C12+C13</f>
        <v>-17420.8</v>
      </c>
      <c r="D14" s="16">
        <f t="shared" ref="D14:F14" si="2">D11+D12+D13</f>
        <v>-20695.8</v>
      </c>
      <c r="E14" s="16">
        <f t="shared" si="2"/>
        <v>-30195.8</v>
      </c>
      <c r="F14" s="16">
        <f t="shared" si="2"/>
        <v>-30195.8</v>
      </c>
    </row>
    <row r="15" spans="1:6" x14ac:dyDescent="0.25">
      <c r="A15" s="14"/>
      <c r="B15" s="44" t="s">
        <v>10</v>
      </c>
      <c r="C15" s="28">
        <f>C9+C14-0.01</f>
        <v>-5108.503999999999</v>
      </c>
      <c r="D15" s="7">
        <f>D9+D14-1</f>
        <v>-4384.4939999999988</v>
      </c>
      <c r="E15" s="7">
        <f>E9+E14-1</f>
        <v>-7884.4939999999988</v>
      </c>
      <c r="F15" s="7">
        <f>F9+F14</f>
        <v>-7883.4939999999988</v>
      </c>
    </row>
    <row r="16" spans="1:6" x14ac:dyDescent="0.25">
      <c r="A16" s="14"/>
      <c r="B16" s="14" t="s">
        <v>29</v>
      </c>
      <c r="C16" s="31"/>
      <c r="D16" s="4"/>
      <c r="E16" s="4"/>
      <c r="F16" s="4"/>
    </row>
    <row r="17" spans="2:6" x14ac:dyDescent="0.25">
      <c r="B17" s="5"/>
      <c r="C17" s="15"/>
      <c r="D17" s="15"/>
      <c r="E17" s="15"/>
      <c r="F17" s="15"/>
    </row>
    <row r="19" spans="2:6" x14ac:dyDescent="0.25">
      <c r="B19" s="14" t="s">
        <v>11</v>
      </c>
      <c r="C19" s="14"/>
      <c r="D19" s="14"/>
      <c r="E19" s="14"/>
      <c r="F19" s="14"/>
    </row>
    <row r="20" spans="2:6" x14ac:dyDescent="0.25">
      <c r="B20" s="30" t="s">
        <v>83</v>
      </c>
      <c r="C20" s="27" t="s">
        <v>3</v>
      </c>
      <c r="D20" s="27" t="s">
        <v>4</v>
      </c>
      <c r="E20" s="27" t="s">
        <v>5</v>
      </c>
      <c r="F20" s="27" t="s">
        <v>6</v>
      </c>
    </row>
    <row r="21" spans="2:6" x14ac:dyDescent="0.25">
      <c r="B21" s="2" t="s">
        <v>84</v>
      </c>
      <c r="C21" s="18"/>
      <c r="D21" s="6"/>
      <c r="E21" s="6"/>
      <c r="F21" s="6"/>
    </row>
    <row r="22" spans="2:6" x14ac:dyDescent="0.25">
      <c r="B22" s="14" t="s">
        <v>85</v>
      </c>
      <c r="C22" s="18">
        <f>1559.948</f>
        <v>1559.9480000000001</v>
      </c>
      <c r="D22" s="6">
        <f>C22</f>
        <v>1559.9480000000001</v>
      </c>
      <c r="E22" s="6">
        <f t="shared" ref="E22:F22" si="3">D22</f>
        <v>1559.9480000000001</v>
      </c>
      <c r="F22" s="6">
        <f t="shared" si="3"/>
        <v>1559.9480000000001</v>
      </c>
    </row>
    <row r="23" spans="2:6" x14ac:dyDescent="0.25">
      <c r="B23" s="14" t="s">
        <v>86</v>
      </c>
      <c r="C23" s="18">
        <f>-157.5</f>
        <v>-157.5</v>
      </c>
      <c r="D23" s="6">
        <f>C23</f>
        <v>-157.5</v>
      </c>
      <c r="E23" s="6">
        <f>D23</f>
        <v>-157.5</v>
      </c>
      <c r="F23" s="6">
        <f>E23</f>
        <v>-157.5</v>
      </c>
    </row>
    <row r="24" spans="2:6" x14ac:dyDescent="0.25">
      <c r="B24" s="14" t="s">
        <v>87</v>
      </c>
      <c r="C24" s="18">
        <v>0</v>
      </c>
      <c r="D24" s="6">
        <v>0</v>
      </c>
      <c r="E24" s="6">
        <v>0</v>
      </c>
      <c r="F24" s="6">
        <v>0</v>
      </c>
    </row>
    <row r="25" spans="2:6" x14ac:dyDescent="0.25">
      <c r="B25" s="1" t="s">
        <v>88</v>
      </c>
      <c r="C25" s="16">
        <f>SUM(C22:C24)</f>
        <v>1402.4480000000001</v>
      </c>
      <c r="D25" s="9">
        <f>SUM(D22:D24)</f>
        <v>1402.4480000000001</v>
      </c>
      <c r="E25" s="9">
        <f>SUM(E22:E24)</f>
        <v>1402.4480000000001</v>
      </c>
      <c r="F25" s="9">
        <f>SUM(F22:F24)</f>
        <v>1402.4480000000001</v>
      </c>
    </row>
    <row r="26" spans="2:6" x14ac:dyDescent="0.25">
      <c r="B26" s="2" t="s">
        <v>89</v>
      </c>
      <c r="C26" s="18"/>
      <c r="D26" s="6"/>
      <c r="E26" s="6"/>
      <c r="F26" s="6"/>
    </row>
    <row r="27" spans="2:6" x14ac:dyDescent="0.25">
      <c r="B27" s="14" t="s">
        <v>90</v>
      </c>
      <c r="C27" s="18">
        <v>200</v>
      </c>
      <c r="D27" s="6">
        <v>200</v>
      </c>
      <c r="E27" s="6">
        <v>200</v>
      </c>
      <c r="F27" s="6">
        <v>200</v>
      </c>
    </row>
    <row r="28" spans="2:6" x14ac:dyDescent="0.25">
      <c r="B28" s="14" t="s">
        <v>91</v>
      </c>
      <c r="C28" s="18">
        <f>'Spesifiserte behov og rammered.'!C14</f>
        <v>0</v>
      </c>
      <c r="D28" s="6">
        <f>'Spesifiserte behov og rammered.'!D14</f>
        <v>0</v>
      </c>
      <c r="E28" s="6">
        <f>'Spesifiserte behov og rammered.'!E14</f>
        <v>0</v>
      </c>
      <c r="F28" s="6">
        <f>'Spesifiserte behov og rammered.'!F14</f>
        <v>0</v>
      </c>
    </row>
    <row r="29" spans="2:6" x14ac:dyDescent="0.25">
      <c r="B29" s="14" t="s">
        <v>92</v>
      </c>
      <c r="C29" s="18">
        <f>'Spesifiserte behov og rammered.'!C17</f>
        <v>-7430</v>
      </c>
      <c r="D29" s="18">
        <f>'Spesifiserte behov og rammered.'!D17</f>
        <v>-12470</v>
      </c>
      <c r="E29" s="18">
        <f>'Spesifiserte behov og rammered.'!E17</f>
        <v>-17130</v>
      </c>
      <c r="F29" s="18">
        <f>'Spesifiserte behov og rammered.'!F17</f>
        <v>-20400</v>
      </c>
    </row>
    <row r="30" spans="2:6" x14ac:dyDescent="0.25">
      <c r="B30" s="1" t="s">
        <v>93</v>
      </c>
      <c r="C30" s="16">
        <f>C27+C28+C29</f>
        <v>-7230</v>
      </c>
      <c r="D30" s="16">
        <f t="shared" ref="D30:F30" si="4">D27+D28+D29</f>
        <v>-12270</v>
      </c>
      <c r="E30" s="16">
        <f t="shared" si="4"/>
        <v>-16930</v>
      </c>
      <c r="F30" s="16">
        <f t="shared" si="4"/>
        <v>-20200</v>
      </c>
    </row>
    <row r="31" spans="2:6" x14ac:dyDescent="0.25">
      <c r="B31" s="44" t="s">
        <v>10</v>
      </c>
      <c r="C31" s="28">
        <f>C25+C30</f>
        <v>-5827.5519999999997</v>
      </c>
      <c r="D31" s="7">
        <f>D25+D30</f>
        <v>-10867.552</v>
      </c>
      <c r="E31" s="7">
        <f>E25+E30</f>
        <v>-15527.552</v>
      </c>
      <c r="F31" s="7">
        <f>F25+F30</f>
        <v>-18797.552</v>
      </c>
    </row>
    <row r="32" spans="2:6" x14ac:dyDescent="0.25">
      <c r="B32" s="14" t="s">
        <v>29</v>
      </c>
      <c r="C32" s="19"/>
      <c r="D32" s="14"/>
      <c r="E32" s="14"/>
      <c r="F32" s="14"/>
    </row>
    <row r="33" spans="2:6" x14ac:dyDescent="0.25">
      <c r="B33" s="5"/>
      <c r="C33" s="15"/>
      <c r="D33" s="15"/>
      <c r="E33" s="15"/>
      <c r="F33" s="15"/>
    </row>
    <row r="35" spans="2:6" x14ac:dyDescent="0.25">
      <c r="B35" s="14" t="s">
        <v>12</v>
      </c>
      <c r="C35" s="14"/>
      <c r="D35" s="14"/>
      <c r="E35" s="14"/>
      <c r="F35" s="14"/>
    </row>
    <row r="36" spans="2:6" x14ac:dyDescent="0.25">
      <c r="B36" s="30" t="s">
        <v>83</v>
      </c>
      <c r="C36" s="27" t="s">
        <v>3</v>
      </c>
      <c r="D36" s="27" t="s">
        <v>4</v>
      </c>
      <c r="E36" s="27" t="s">
        <v>5</v>
      </c>
      <c r="F36" s="27" t="s">
        <v>6</v>
      </c>
    </row>
    <row r="37" spans="2:6" x14ac:dyDescent="0.25">
      <c r="B37" s="2" t="s">
        <v>84</v>
      </c>
      <c r="C37" s="18"/>
      <c r="D37" s="6"/>
      <c r="E37" s="6"/>
      <c r="F37" s="6"/>
    </row>
    <row r="38" spans="2:6" x14ac:dyDescent="0.25">
      <c r="B38" s="14" t="s">
        <v>85</v>
      </c>
      <c r="C38" s="18">
        <v>983.2</v>
      </c>
      <c r="D38" s="6">
        <v>983.2</v>
      </c>
      <c r="E38" s="6">
        <v>983.2</v>
      </c>
      <c r="F38" s="6">
        <v>983.2</v>
      </c>
    </row>
    <row r="39" spans="2:6" x14ac:dyDescent="0.25">
      <c r="B39" s="14" t="s">
        <v>86</v>
      </c>
      <c r="C39" s="18">
        <v>105.7</v>
      </c>
      <c r="D39" s="6">
        <v>105.7</v>
      </c>
      <c r="E39" s="6">
        <v>105.7</v>
      </c>
      <c r="F39" s="6">
        <v>105.7</v>
      </c>
    </row>
    <row r="40" spans="2:6" x14ac:dyDescent="0.25">
      <c r="B40" s="14" t="s">
        <v>87</v>
      </c>
      <c r="C40" s="18">
        <v>757</v>
      </c>
      <c r="D40" s="6">
        <v>757</v>
      </c>
      <c r="E40" s="6">
        <v>757</v>
      </c>
      <c r="F40" s="6">
        <v>757</v>
      </c>
    </row>
    <row r="41" spans="2:6" x14ac:dyDescent="0.25">
      <c r="B41" s="1" t="s">
        <v>88</v>
      </c>
      <c r="C41" s="16">
        <f>SUM(C38:C40)</f>
        <v>1845.9</v>
      </c>
      <c r="D41" s="9">
        <f>SUM(D38:D40)</f>
        <v>1845.9</v>
      </c>
      <c r="E41" s="9">
        <f>SUM(E38:E40)</f>
        <v>1845.9</v>
      </c>
      <c r="F41" s="9">
        <f>SUM(F38:F40)</f>
        <v>1845.9</v>
      </c>
    </row>
    <row r="42" spans="2:6" x14ac:dyDescent="0.25">
      <c r="B42" s="2" t="s">
        <v>89</v>
      </c>
      <c r="C42" s="18"/>
      <c r="D42" s="6"/>
      <c r="E42" s="6"/>
      <c r="F42" s="6"/>
    </row>
    <row r="43" spans="2:6" x14ac:dyDescent="0.25">
      <c r="B43" s="14" t="s">
        <v>90</v>
      </c>
      <c r="C43" s="18">
        <f>-746.2-56.7</f>
        <v>-802.90000000000009</v>
      </c>
      <c r="D43" s="6">
        <f>-747.1-56.7</f>
        <v>-803.80000000000007</v>
      </c>
      <c r="E43" s="6">
        <f>-1247.2-56.7+3</f>
        <v>-1300.9000000000001</v>
      </c>
      <c r="F43" s="6">
        <f>-1247.2-56.7+3</f>
        <v>-1300.9000000000001</v>
      </c>
    </row>
    <row r="44" spans="2:6" x14ac:dyDescent="0.25">
      <c r="B44" s="14" t="s">
        <v>91</v>
      </c>
      <c r="C44" s="18">
        <v>80</v>
      </c>
      <c r="D44" s="6">
        <v>80</v>
      </c>
      <c r="E44" s="6">
        <v>80</v>
      </c>
      <c r="F44" s="6">
        <v>80</v>
      </c>
    </row>
    <row r="45" spans="2:6" x14ac:dyDescent="0.25">
      <c r="B45" s="14" t="s">
        <v>92</v>
      </c>
      <c r="C45" s="18">
        <v>0</v>
      </c>
      <c r="D45" s="18">
        <v>0</v>
      </c>
      <c r="E45" s="18">
        <v>0</v>
      </c>
      <c r="F45" s="18">
        <v>0</v>
      </c>
    </row>
    <row r="46" spans="2:6" x14ac:dyDescent="0.25">
      <c r="B46" s="1" t="s">
        <v>93</v>
      </c>
      <c r="C46" s="16">
        <f>C43+C44+C45</f>
        <v>-722.90000000000009</v>
      </c>
      <c r="D46" s="16">
        <f t="shared" ref="D46:F46" si="5">D43+D44+D45</f>
        <v>-723.80000000000007</v>
      </c>
      <c r="E46" s="16">
        <f t="shared" si="5"/>
        <v>-1220.9000000000001</v>
      </c>
      <c r="F46" s="16">
        <f t="shared" si="5"/>
        <v>-1220.9000000000001</v>
      </c>
    </row>
    <row r="47" spans="2:6" x14ac:dyDescent="0.25">
      <c r="B47" s="44" t="s">
        <v>10</v>
      </c>
      <c r="C47" s="28">
        <f>C41+C46</f>
        <v>1123</v>
      </c>
      <c r="D47" s="7">
        <f>D41+D46</f>
        <v>1122.0999999999999</v>
      </c>
      <c r="E47" s="7">
        <f>E41+E46</f>
        <v>625</v>
      </c>
      <c r="F47" s="7">
        <f>F41+F46</f>
        <v>625</v>
      </c>
    </row>
    <row r="48" spans="2:6" x14ac:dyDescent="0.25">
      <c r="B48" s="14" t="s">
        <v>29</v>
      </c>
      <c r="C48" s="19"/>
      <c r="D48" s="14"/>
      <c r="E48" s="14"/>
      <c r="F48" s="14"/>
    </row>
    <row r="49" spans="2:6" x14ac:dyDescent="0.25">
      <c r="B49" s="5"/>
      <c r="C49" s="24"/>
      <c r="D49" s="24"/>
      <c r="E49" s="24"/>
      <c r="F49" s="24"/>
    </row>
    <row r="50" spans="2:6" x14ac:dyDescent="0.25">
      <c r="B50" s="14" t="s">
        <v>314</v>
      </c>
      <c r="C50" s="4"/>
      <c r="D50" s="14"/>
      <c r="E50" s="14"/>
      <c r="F50" s="14"/>
    </row>
    <row r="51" spans="2:6" x14ac:dyDescent="0.25">
      <c r="B51" s="30" t="s">
        <v>83</v>
      </c>
      <c r="C51" s="27" t="s">
        <v>3</v>
      </c>
      <c r="D51" s="27" t="s">
        <v>4</v>
      </c>
      <c r="E51" s="27" t="s">
        <v>5</v>
      </c>
      <c r="F51" s="27" t="s">
        <v>6</v>
      </c>
    </row>
    <row r="52" spans="2:6" x14ac:dyDescent="0.25">
      <c r="B52" s="2" t="s">
        <v>84</v>
      </c>
      <c r="C52" s="18"/>
      <c r="D52" s="6"/>
      <c r="E52" s="6"/>
      <c r="F52" s="6"/>
    </row>
    <row r="53" spans="2:6" x14ac:dyDescent="0.25">
      <c r="B53" s="14" t="s">
        <v>85</v>
      </c>
      <c r="C53" s="18">
        <f>36708.444+55.7</f>
        <v>36764.144</v>
      </c>
      <c r="D53" s="6">
        <f>36708.444+55.7</f>
        <v>36764.144</v>
      </c>
      <c r="E53" s="6">
        <f>36708.444+55.7</f>
        <v>36764.144</v>
      </c>
      <c r="F53" s="6">
        <f>36708.444+55.7</f>
        <v>36764.144</v>
      </c>
    </row>
    <row r="54" spans="2:6" x14ac:dyDescent="0.25">
      <c r="B54" s="14" t="s">
        <v>86</v>
      </c>
      <c r="C54" s="18">
        <v>7367</v>
      </c>
      <c r="D54" s="6">
        <v>7367</v>
      </c>
      <c r="E54" s="6">
        <v>7367</v>
      </c>
      <c r="F54" s="6">
        <v>7367</v>
      </c>
    </row>
    <row r="55" spans="2:6" x14ac:dyDescent="0.25">
      <c r="B55" s="14" t="s">
        <v>87</v>
      </c>
      <c r="C55" s="18">
        <v>-729.5</v>
      </c>
      <c r="D55" s="6">
        <v>-729.5</v>
      </c>
      <c r="E55" s="6">
        <v>-729.5</v>
      </c>
      <c r="F55" s="6">
        <v>-729.5</v>
      </c>
    </row>
    <row r="56" spans="2:6" x14ac:dyDescent="0.25">
      <c r="B56" s="1" t="s">
        <v>88</v>
      </c>
      <c r="C56" s="16">
        <f>SUM(C53:C55)</f>
        <v>43401.644</v>
      </c>
      <c r="D56" s="9">
        <f>SUM(D53:D55)</f>
        <v>43401.644</v>
      </c>
      <c r="E56" s="9">
        <f>SUM(E53:E55)</f>
        <v>43401.644</v>
      </c>
      <c r="F56" s="9">
        <f>SUM(F53:F55)</f>
        <v>43401.644</v>
      </c>
    </row>
    <row r="57" spans="2:6" x14ac:dyDescent="0.25">
      <c r="B57" s="2" t="s">
        <v>89</v>
      </c>
      <c r="C57" s="18"/>
      <c r="D57" s="6"/>
      <c r="E57" s="6"/>
      <c r="F57" s="6"/>
    </row>
    <row r="58" spans="2:6" x14ac:dyDescent="0.25">
      <c r="B58" s="14" t="s">
        <v>90</v>
      </c>
      <c r="C58" s="18">
        <f>6117.7+1400</f>
        <v>7517.7</v>
      </c>
      <c r="D58" s="6">
        <f>10902.7+1400</f>
        <v>12302.7</v>
      </c>
      <c r="E58" s="6">
        <f>10932.1+1400</f>
        <v>12332.1</v>
      </c>
      <c r="F58" s="6">
        <f>10932.1+1400</f>
        <v>12332.1</v>
      </c>
    </row>
    <row r="59" spans="2:6" x14ac:dyDescent="0.25">
      <c r="B59" s="14" t="s">
        <v>91</v>
      </c>
      <c r="C59" s="18">
        <f>'Spesifiserte behov og rammered.'!C47</f>
        <v>25572</v>
      </c>
      <c r="D59" s="6">
        <f>'Spesifiserte behov og rammered.'!D47</f>
        <v>27472</v>
      </c>
      <c r="E59" s="6">
        <f>'Spesifiserte behov og rammered.'!E47</f>
        <v>25572</v>
      </c>
      <c r="F59" s="6">
        <f>'Spesifiserte behov og rammered.'!F47</f>
        <v>39572</v>
      </c>
    </row>
    <row r="60" spans="2:6" x14ac:dyDescent="0.25">
      <c r="B60" s="14" t="s">
        <v>92</v>
      </c>
      <c r="C60" s="18">
        <f>'Spesifiserte behov og rammered.'!C79</f>
        <v>-30920</v>
      </c>
      <c r="D60" s="6">
        <f>'Spesifiserte behov og rammered.'!D79</f>
        <v>-50230</v>
      </c>
      <c r="E60" s="6">
        <f>'Spesifiserte behov og rammered.'!E79</f>
        <v>-88880</v>
      </c>
      <c r="F60" s="6">
        <f>'Spesifiserte behov og rammered.'!F79</f>
        <v>-115920</v>
      </c>
    </row>
    <row r="61" spans="2:6" x14ac:dyDescent="0.25">
      <c r="B61" s="1" t="s">
        <v>93</v>
      </c>
      <c r="C61" s="16">
        <f>C58+C59+C60</f>
        <v>2169.6999999999971</v>
      </c>
      <c r="D61" s="9">
        <f t="shared" ref="D61:F61" si="6">D58+D59+D60</f>
        <v>-10455.300000000003</v>
      </c>
      <c r="E61" s="9">
        <f t="shared" si="6"/>
        <v>-50975.9</v>
      </c>
      <c r="F61" s="9">
        <f t="shared" si="6"/>
        <v>-64015.9</v>
      </c>
    </row>
    <row r="62" spans="2:6" x14ac:dyDescent="0.25">
      <c r="B62" s="44" t="s">
        <v>10</v>
      </c>
      <c r="C62" s="28">
        <f>C56+C61</f>
        <v>45571.343999999997</v>
      </c>
      <c r="D62" s="7">
        <f>D56+D61</f>
        <v>32946.343999999997</v>
      </c>
      <c r="E62" s="7">
        <f>E56+E61</f>
        <v>-7574.2560000000012</v>
      </c>
      <c r="F62" s="7">
        <f>F56+F61</f>
        <v>-20614.256000000001</v>
      </c>
    </row>
    <row r="63" spans="2:6" x14ac:dyDescent="0.25">
      <c r="B63" s="14" t="s">
        <v>29</v>
      </c>
      <c r="C63" s="19"/>
      <c r="D63" s="14"/>
      <c r="E63" s="14"/>
      <c r="F63" s="14"/>
    </row>
    <row r="64" spans="2:6" x14ac:dyDescent="0.25">
      <c r="B64" s="5"/>
      <c r="C64" s="15"/>
      <c r="D64" s="15"/>
      <c r="E64" s="15"/>
      <c r="F64" s="15"/>
    </row>
    <row r="65" spans="2:6" x14ac:dyDescent="0.25">
      <c r="B65" s="14"/>
      <c r="C65" s="4"/>
      <c r="D65" s="4"/>
      <c r="E65" s="4"/>
      <c r="F65" s="4"/>
    </row>
    <row r="66" spans="2:6" x14ac:dyDescent="0.25">
      <c r="B66" s="14" t="s">
        <v>14</v>
      </c>
      <c r="C66" s="14"/>
      <c r="D66" s="14"/>
      <c r="E66" s="14"/>
      <c r="F66" s="14"/>
    </row>
    <row r="67" spans="2:6" x14ac:dyDescent="0.25">
      <c r="B67" s="30" t="s">
        <v>83</v>
      </c>
      <c r="C67" s="27" t="s">
        <v>3</v>
      </c>
      <c r="D67" s="27" t="s">
        <v>4</v>
      </c>
      <c r="E67" s="27" t="s">
        <v>5</v>
      </c>
      <c r="F67" s="27" t="s">
        <v>6</v>
      </c>
    </row>
    <row r="68" spans="2:6" x14ac:dyDescent="0.25">
      <c r="B68" s="2" t="s">
        <v>84</v>
      </c>
      <c r="C68" s="18"/>
      <c r="D68" s="6"/>
      <c r="E68" s="6"/>
      <c r="F68" s="6"/>
    </row>
    <row r="69" spans="2:6" x14ac:dyDescent="0.25">
      <c r="B69" s="14" t="s">
        <v>85</v>
      </c>
      <c r="C69" s="18">
        <v>47019.648999999998</v>
      </c>
      <c r="D69" s="6">
        <v>47019.648999999998</v>
      </c>
      <c r="E69" s="6">
        <v>47019.648999999998</v>
      </c>
      <c r="F69" s="6">
        <v>47019.648999999998</v>
      </c>
    </row>
    <row r="70" spans="2:6" x14ac:dyDescent="0.25">
      <c r="B70" s="14" t="s">
        <v>86</v>
      </c>
      <c r="C70" s="18">
        <v>16991.400000000001</v>
      </c>
      <c r="D70" s="6">
        <v>16991.400000000001</v>
      </c>
      <c r="E70" s="6">
        <v>16991.400000000001</v>
      </c>
      <c r="F70" s="6">
        <v>16991.400000000001</v>
      </c>
    </row>
    <row r="71" spans="2:6" x14ac:dyDescent="0.25">
      <c r="B71" s="14" t="s">
        <v>87</v>
      </c>
      <c r="C71" s="18">
        <v>16</v>
      </c>
      <c r="D71" s="6">
        <v>16</v>
      </c>
      <c r="E71" s="6">
        <v>16</v>
      </c>
      <c r="F71" s="6">
        <v>16</v>
      </c>
    </row>
    <row r="72" spans="2:6" x14ac:dyDescent="0.25">
      <c r="B72" s="1" t="s">
        <v>88</v>
      </c>
      <c r="C72" s="16">
        <f>SUM(C69:C71)-1</f>
        <v>64026.048999999999</v>
      </c>
      <c r="D72" s="9">
        <f>SUM(D69:D71)-1</f>
        <v>64026.048999999999</v>
      </c>
      <c r="E72" s="9">
        <f>SUM(E69:E71)-1</f>
        <v>64026.048999999999</v>
      </c>
      <c r="F72" s="9">
        <f>SUM(F69:F71)-1</f>
        <v>64026.048999999999</v>
      </c>
    </row>
    <row r="73" spans="2:6" x14ac:dyDescent="0.25">
      <c r="B73" s="2" t="s">
        <v>89</v>
      </c>
      <c r="C73" s="18"/>
      <c r="D73" s="6"/>
      <c r="E73" s="6"/>
      <c r="F73" s="6"/>
    </row>
    <row r="74" spans="2:6" x14ac:dyDescent="0.25">
      <c r="B74" s="14" t="s">
        <v>90</v>
      </c>
      <c r="C74" s="18">
        <v>34350.730000000003</v>
      </c>
      <c r="D74" s="6">
        <v>35381.730000000003</v>
      </c>
      <c r="E74" s="6">
        <v>30373.73</v>
      </c>
      <c r="F74" s="6">
        <v>30373.73</v>
      </c>
    </row>
    <row r="75" spans="2:6" x14ac:dyDescent="0.25">
      <c r="B75" s="14" t="s">
        <v>91</v>
      </c>
      <c r="C75" s="18">
        <v>21939</v>
      </c>
      <c r="D75" s="6">
        <v>43399</v>
      </c>
      <c r="E75" s="6">
        <v>52664</v>
      </c>
      <c r="F75" s="6">
        <v>63743</v>
      </c>
    </row>
    <row r="76" spans="2:6" x14ac:dyDescent="0.25">
      <c r="B76" s="14" t="s">
        <v>92</v>
      </c>
      <c r="C76" s="18">
        <f>-4457-35750</f>
        <v>-40207</v>
      </c>
      <c r="D76" s="6">
        <f>-8911-58100</f>
        <v>-67011</v>
      </c>
      <c r="E76" s="6">
        <f>-8911-102790</f>
        <v>-111701</v>
      </c>
      <c r="F76" s="6">
        <f>-8911-134080</f>
        <v>-142991</v>
      </c>
    </row>
    <row r="77" spans="2:6" x14ac:dyDescent="0.25">
      <c r="B77" s="1" t="s">
        <v>93</v>
      </c>
      <c r="C77" s="16">
        <f>C74+C75+C76</f>
        <v>16082.730000000003</v>
      </c>
      <c r="D77" s="9">
        <f t="shared" ref="D77:E77" si="7">D74+D75+D76</f>
        <v>11769.73000000001</v>
      </c>
      <c r="E77" s="9">
        <f t="shared" si="7"/>
        <v>-28663.270000000004</v>
      </c>
      <c r="F77" s="9">
        <f>F74+F75+F76-1</f>
        <v>-48875.270000000004</v>
      </c>
    </row>
    <row r="78" spans="2:6" x14ac:dyDescent="0.25">
      <c r="B78" s="44" t="s">
        <v>10</v>
      </c>
      <c r="C78" s="28">
        <f>C72+C77</f>
        <v>80108.77900000001</v>
      </c>
      <c r="D78" s="7">
        <f>D72+D77</f>
        <v>75795.77900000001</v>
      </c>
      <c r="E78" s="7">
        <f>E72+E77</f>
        <v>35362.778999999995</v>
      </c>
      <c r="F78" s="7">
        <f>F72+F77</f>
        <v>15150.778999999995</v>
      </c>
    </row>
    <row r="79" spans="2:6" x14ac:dyDescent="0.25">
      <c r="B79" s="14" t="s">
        <v>29</v>
      </c>
      <c r="C79" s="19"/>
      <c r="D79" s="14"/>
      <c r="E79" s="14"/>
      <c r="F79" s="14"/>
    </row>
    <row r="80" spans="2:6" x14ac:dyDescent="0.25">
      <c r="B80" s="5"/>
      <c r="C80" s="5"/>
      <c r="D80" s="5"/>
      <c r="E80" s="5"/>
      <c r="F80" s="5"/>
    </row>
    <row r="81" spans="2:6" x14ac:dyDescent="0.25">
      <c r="B81" s="14"/>
      <c r="C81" s="4"/>
      <c r="D81" s="4"/>
      <c r="E81" s="4"/>
      <c r="F81" s="4"/>
    </row>
    <row r="82" spans="2:6" x14ac:dyDescent="0.25">
      <c r="B82" s="14" t="s">
        <v>15</v>
      </c>
      <c r="C82" s="4"/>
      <c r="D82" s="4"/>
      <c r="E82" s="4"/>
      <c r="F82" s="4"/>
    </row>
    <row r="83" spans="2:6" x14ac:dyDescent="0.25">
      <c r="B83" s="30" t="s">
        <v>83</v>
      </c>
      <c r="C83" s="27" t="s">
        <v>3</v>
      </c>
      <c r="D83" s="27" t="s">
        <v>4</v>
      </c>
      <c r="E83" s="27" t="s">
        <v>5</v>
      </c>
      <c r="F83" s="27" t="s">
        <v>6</v>
      </c>
    </row>
    <row r="84" spans="2:6" x14ac:dyDescent="0.25">
      <c r="B84" s="2" t="s">
        <v>84</v>
      </c>
      <c r="C84" s="18"/>
      <c r="D84" s="6"/>
      <c r="E84" s="6"/>
      <c r="F84" s="6"/>
    </row>
    <row r="85" spans="2:6" x14ac:dyDescent="0.25">
      <c r="B85" s="14" t="s">
        <v>85</v>
      </c>
      <c r="C85" s="18">
        <v>3618</v>
      </c>
      <c r="D85" s="6">
        <f>C85</f>
        <v>3618</v>
      </c>
      <c r="E85" s="6">
        <f>D85</f>
        <v>3618</v>
      </c>
      <c r="F85" s="6">
        <f>E85</f>
        <v>3618</v>
      </c>
    </row>
    <row r="86" spans="2:6" x14ac:dyDescent="0.25">
      <c r="B86" s="14" t="s">
        <v>86</v>
      </c>
      <c r="C86" s="18">
        <f>2457-1628</f>
        <v>829</v>
      </c>
      <c r="D86" s="6">
        <f>+C86</f>
        <v>829</v>
      </c>
      <c r="E86" s="6">
        <f>+D86</f>
        <v>829</v>
      </c>
      <c r="F86" s="6">
        <f>+E86</f>
        <v>829</v>
      </c>
    </row>
    <row r="87" spans="2:6" x14ac:dyDescent="0.25">
      <c r="B87" s="14" t="s">
        <v>87</v>
      </c>
      <c r="C87" s="18">
        <f>14358-12305+1</f>
        <v>2054</v>
      </c>
      <c r="D87" s="6">
        <f>14358-12305+1</f>
        <v>2054</v>
      </c>
      <c r="E87" s="6">
        <f>14358-12305+1</f>
        <v>2054</v>
      </c>
      <c r="F87" s="6">
        <f>14358-12305+1</f>
        <v>2054</v>
      </c>
    </row>
    <row r="88" spans="2:6" x14ac:dyDescent="0.25">
      <c r="B88" s="1" t="s">
        <v>88</v>
      </c>
      <c r="C88" s="16">
        <f>SUM(C85:C87)</f>
        <v>6501</v>
      </c>
      <c r="D88" s="9">
        <f>SUM(D85:D87)</f>
        <v>6501</v>
      </c>
      <c r="E88" s="9">
        <f>SUM(E85:E87)</f>
        <v>6501</v>
      </c>
      <c r="F88" s="9">
        <f>SUM(F85:F87)</f>
        <v>6501</v>
      </c>
    </row>
    <row r="89" spans="2:6" x14ac:dyDescent="0.25">
      <c r="B89" s="2" t="s">
        <v>89</v>
      </c>
      <c r="C89" s="18"/>
      <c r="D89" s="6"/>
      <c r="E89" s="6"/>
      <c r="F89" s="6"/>
    </row>
    <row r="90" spans="2:6" x14ac:dyDescent="0.25">
      <c r="B90" s="14" t="s">
        <v>90</v>
      </c>
      <c r="C90" s="18">
        <f>5947.60500000001+2</f>
        <v>5949.6050000000096</v>
      </c>
      <c r="D90" s="6">
        <v>12519.296000000002</v>
      </c>
      <c r="E90" s="6">
        <f>14165.574-1</f>
        <v>14164.574000000001</v>
      </c>
      <c r="F90" s="6">
        <f>14165.574+1</f>
        <v>14166.574000000001</v>
      </c>
    </row>
    <row r="91" spans="2:6" x14ac:dyDescent="0.25">
      <c r="B91" s="14" t="s">
        <v>91</v>
      </c>
      <c r="C91" s="18">
        <f>+'Spesifiserte behov og rammered.'!C137</f>
        <v>3778</v>
      </c>
      <c r="D91" s="18">
        <f>+'Spesifiserte behov og rammered.'!D137</f>
        <v>3778</v>
      </c>
      <c r="E91" s="18">
        <f>+'Spesifiserte behov og rammered.'!E137</f>
        <v>3778</v>
      </c>
      <c r="F91" s="18">
        <f>+'Spesifiserte behov og rammered.'!F137</f>
        <v>3778</v>
      </c>
    </row>
    <row r="92" spans="2:6" x14ac:dyDescent="0.25">
      <c r="B92" s="14" t="s">
        <v>92</v>
      </c>
      <c r="C92" s="18">
        <f>'Spesifiserte behov og rammered.'!C148</f>
        <v>-1700</v>
      </c>
      <c r="D92" s="18">
        <f>'Spesifiserte behov og rammered.'!D148</f>
        <v>-3630</v>
      </c>
      <c r="E92" s="18">
        <f>'Spesifiserte behov og rammered.'!E148</f>
        <v>-5740</v>
      </c>
      <c r="F92" s="18">
        <f>'Spesifiserte behov og rammered.'!F148</f>
        <v>-7490</v>
      </c>
    </row>
    <row r="93" spans="2:6" x14ac:dyDescent="0.25">
      <c r="B93" s="1" t="s">
        <v>93</v>
      </c>
      <c r="C93" s="16">
        <f>C90+C91+C92</f>
        <v>8027.6050000000105</v>
      </c>
      <c r="D93" s="9">
        <f t="shared" ref="D93:F93" si="8">D90+D91+D92</f>
        <v>12667.296000000002</v>
      </c>
      <c r="E93" s="9">
        <f t="shared" si="8"/>
        <v>12202.574000000001</v>
      </c>
      <c r="F93" s="9">
        <f t="shared" si="8"/>
        <v>10454.574000000001</v>
      </c>
    </row>
    <row r="94" spans="2:6" x14ac:dyDescent="0.25">
      <c r="B94" s="44" t="s">
        <v>10</v>
      </c>
      <c r="C94" s="28">
        <f>C88+C93</f>
        <v>14528.60500000001</v>
      </c>
      <c r="D94" s="7">
        <f>D88+D93-1</f>
        <v>19167.296000000002</v>
      </c>
      <c r="E94" s="7">
        <f>E88+E93</f>
        <v>18703.574000000001</v>
      </c>
      <c r="F94" s="7">
        <f>F88+F93</f>
        <v>16955.574000000001</v>
      </c>
    </row>
    <row r="95" spans="2:6" x14ac:dyDescent="0.25">
      <c r="B95" s="14" t="s">
        <v>29</v>
      </c>
      <c r="C95" s="19"/>
      <c r="D95" s="14"/>
      <c r="E95" s="14"/>
      <c r="F95" s="14"/>
    </row>
    <row r="96" spans="2:6" x14ac:dyDescent="0.25">
      <c r="B96" s="5"/>
      <c r="C96" s="15"/>
      <c r="D96" s="15"/>
      <c r="E96" s="15"/>
      <c r="F96" s="15"/>
    </row>
    <row r="97" spans="2:6" x14ac:dyDescent="0.25">
      <c r="B97" s="14"/>
      <c r="C97" s="4"/>
      <c r="D97" s="4"/>
      <c r="E97" s="4"/>
      <c r="F97" s="4"/>
    </row>
    <row r="98" spans="2:6" x14ac:dyDescent="0.25">
      <c r="B98" s="14" t="s">
        <v>16</v>
      </c>
      <c r="C98" s="14"/>
      <c r="D98" s="14"/>
      <c r="E98" s="14"/>
      <c r="F98" s="14"/>
    </row>
    <row r="99" spans="2:6" x14ac:dyDescent="0.25">
      <c r="B99" s="30" t="s">
        <v>83</v>
      </c>
      <c r="C99" s="27" t="s">
        <v>3</v>
      </c>
      <c r="D99" s="27" t="s">
        <v>4</v>
      </c>
      <c r="E99" s="27" t="s">
        <v>5</v>
      </c>
      <c r="F99" s="27" t="s">
        <v>6</v>
      </c>
    </row>
    <row r="100" spans="2:6" x14ac:dyDescent="0.25">
      <c r="B100" s="2" t="s">
        <v>84</v>
      </c>
      <c r="C100" s="18"/>
      <c r="D100" s="6"/>
      <c r="E100" s="6"/>
      <c r="F100" s="6"/>
    </row>
    <row r="101" spans="2:6" x14ac:dyDescent="0.25">
      <c r="B101" s="14" t="s">
        <v>85</v>
      </c>
      <c r="C101" s="18">
        <f>5440-810</f>
        <v>4630</v>
      </c>
      <c r="D101" s="6">
        <f>+C101</f>
        <v>4630</v>
      </c>
      <c r="E101" s="6">
        <f t="shared" ref="E101:F101" si="9">+D101</f>
        <v>4630</v>
      </c>
      <c r="F101" s="6">
        <f t="shared" si="9"/>
        <v>4630</v>
      </c>
    </row>
    <row r="102" spans="2:6" x14ac:dyDescent="0.25">
      <c r="B102" s="14" t="s">
        <v>86</v>
      </c>
      <c r="C102" s="18">
        <f>2050-2205</f>
        <v>-155</v>
      </c>
      <c r="D102" s="6">
        <f>+C102</f>
        <v>-155</v>
      </c>
      <c r="E102" s="6">
        <f t="shared" ref="E102:F102" si="10">+D102</f>
        <v>-155</v>
      </c>
      <c r="F102" s="6">
        <f t="shared" si="10"/>
        <v>-155</v>
      </c>
    </row>
    <row r="103" spans="2:6" x14ac:dyDescent="0.25">
      <c r="B103" s="14" t="s">
        <v>87</v>
      </c>
      <c r="C103" s="18">
        <f>10423-10423</f>
        <v>0</v>
      </c>
      <c r="D103" s="6">
        <f>+C103</f>
        <v>0</v>
      </c>
      <c r="E103" s="6">
        <f t="shared" ref="E103:F103" si="11">+D103</f>
        <v>0</v>
      </c>
      <c r="F103" s="6">
        <f t="shared" si="11"/>
        <v>0</v>
      </c>
    </row>
    <row r="104" spans="2:6" x14ac:dyDescent="0.25">
      <c r="B104" s="1" t="s">
        <v>88</v>
      </c>
      <c r="C104" s="16">
        <f>SUM(C101:C103)</f>
        <v>4475</v>
      </c>
      <c r="D104" s="9">
        <f>SUM(D101:D103)</f>
        <v>4475</v>
      </c>
      <c r="E104" s="9">
        <f>SUM(E101:E103)</f>
        <v>4475</v>
      </c>
      <c r="F104" s="9">
        <f>SUM(F101:F103)</f>
        <v>4475</v>
      </c>
    </row>
    <row r="105" spans="2:6" x14ac:dyDescent="0.25">
      <c r="B105" s="2" t="s">
        <v>89</v>
      </c>
      <c r="C105" s="18"/>
      <c r="D105" s="6"/>
      <c r="E105" s="6"/>
      <c r="F105" s="6"/>
    </row>
    <row r="106" spans="2:6" x14ac:dyDescent="0.25">
      <c r="B106" s="14" t="s">
        <v>90</v>
      </c>
      <c r="C106" s="18">
        <f>463+885</f>
        <v>1348</v>
      </c>
      <c r="D106" s="6">
        <f>-937+885</f>
        <v>-52</v>
      </c>
      <c r="E106" s="6">
        <f>-2437+885+1</f>
        <v>-1551</v>
      </c>
      <c r="F106" s="6">
        <f>-2437+885+1</f>
        <v>-1551</v>
      </c>
    </row>
    <row r="107" spans="2:6" x14ac:dyDescent="0.25">
      <c r="B107" s="14" t="s">
        <v>91</v>
      </c>
      <c r="C107" s="18">
        <f>'Spesifiserte behov og rammered.'!C157</f>
        <v>1748</v>
      </c>
      <c r="D107" s="6">
        <f>'Spesifiserte behov og rammered.'!D157</f>
        <v>1248</v>
      </c>
      <c r="E107" s="6">
        <f>'Spesifiserte behov og rammered.'!E157</f>
        <v>1248</v>
      </c>
      <c r="F107" s="6">
        <f>'Spesifiserte behov og rammered.'!F157</f>
        <v>1248</v>
      </c>
    </row>
    <row r="108" spans="2:6" x14ac:dyDescent="0.25">
      <c r="B108" s="14" t="s">
        <v>92</v>
      </c>
      <c r="C108" s="18">
        <f>'Spesifiserte behov og rammered.'!C163-1</f>
        <v>-7901</v>
      </c>
      <c r="D108" s="18">
        <f>'Spesifiserte behov og rammered.'!D163+16</f>
        <v>-9084</v>
      </c>
      <c r="E108" s="18">
        <f>'Spesifiserte behov og rammered.'!E163+2</f>
        <v>-13558</v>
      </c>
      <c r="F108" s="18">
        <f>'Spesifiserte behov og rammered.'!F163+1</f>
        <v>-17684</v>
      </c>
    </row>
    <row r="109" spans="2:6" x14ac:dyDescent="0.25">
      <c r="B109" s="1" t="s">
        <v>93</v>
      </c>
      <c r="C109" s="16">
        <f>C106+C107+C108</f>
        <v>-4805</v>
      </c>
      <c r="D109" s="9">
        <f t="shared" ref="D109:F109" si="12">D106+D107+D108</f>
        <v>-7888</v>
      </c>
      <c r="E109" s="9">
        <f t="shared" si="12"/>
        <v>-13861</v>
      </c>
      <c r="F109" s="9">
        <f t="shared" si="12"/>
        <v>-17987</v>
      </c>
    </row>
    <row r="110" spans="2:6" x14ac:dyDescent="0.25">
      <c r="B110" s="44" t="s">
        <v>10</v>
      </c>
      <c r="C110" s="28">
        <f>C104+C109</f>
        <v>-330</v>
      </c>
      <c r="D110" s="7">
        <f>D104+D109-1</f>
        <v>-3414</v>
      </c>
      <c r="E110" s="7">
        <f>E104+E109</f>
        <v>-9386</v>
      </c>
      <c r="F110" s="7">
        <f>F104+F109</f>
        <v>-13512</v>
      </c>
    </row>
    <row r="111" spans="2:6" x14ac:dyDescent="0.25">
      <c r="B111" s="14" t="s">
        <v>29</v>
      </c>
      <c r="C111" s="19"/>
      <c r="D111" s="14"/>
      <c r="E111" s="14"/>
      <c r="F111" s="14"/>
    </row>
    <row r="112" spans="2:6" x14ac:dyDescent="0.25">
      <c r="B112" s="5"/>
      <c r="C112" s="24"/>
      <c r="D112" s="24"/>
      <c r="E112" s="24"/>
      <c r="F112" s="24"/>
    </row>
    <row r="114" spans="2:6" x14ac:dyDescent="0.25">
      <c r="B114" s="14" t="s">
        <v>17</v>
      </c>
      <c r="C114" s="14"/>
      <c r="D114" s="14"/>
      <c r="E114" s="14"/>
      <c r="F114" s="14"/>
    </row>
    <row r="115" spans="2:6" x14ac:dyDescent="0.25">
      <c r="B115" s="30" t="s">
        <v>83</v>
      </c>
      <c r="C115" s="27" t="s">
        <v>3</v>
      </c>
      <c r="D115" s="27" t="s">
        <v>4</v>
      </c>
      <c r="E115" s="27" t="s">
        <v>5</v>
      </c>
      <c r="F115" s="27" t="s">
        <v>6</v>
      </c>
    </row>
    <row r="116" spans="2:6" x14ac:dyDescent="0.25">
      <c r="B116" s="2" t="s">
        <v>84</v>
      </c>
      <c r="C116" s="18"/>
      <c r="D116" s="6"/>
      <c r="E116" s="6"/>
      <c r="F116" s="6"/>
    </row>
    <row r="117" spans="2:6" x14ac:dyDescent="0.25">
      <c r="B117" s="14" t="s">
        <v>85</v>
      </c>
      <c r="C117" s="18">
        <v>0</v>
      </c>
      <c r="D117" s="6">
        <v>0</v>
      </c>
      <c r="E117" s="6">
        <v>0</v>
      </c>
      <c r="F117" s="6">
        <v>0</v>
      </c>
    </row>
    <row r="118" spans="2:6" x14ac:dyDescent="0.25">
      <c r="B118" s="14" t="s">
        <v>86</v>
      </c>
      <c r="C118" s="18">
        <v>6116.3</v>
      </c>
      <c r="D118" s="6">
        <v>6116.3</v>
      </c>
      <c r="E118" s="6">
        <v>6116.3</v>
      </c>
      <c r="F118" s="6">
        <v>6116.3</v>
      </c>
    </row>
    <row r="119" spans="2:6" x14ac:dyDescent="0.25">
      <c r="B119" s="14" t="s">
        <v>87</v>
      </c>
      <c r="C119" s="18">
        <v>1741.2560000000001</v>
      </c>
      <c r="D119" s="6">
        <v>1741.2560000000001</v>
      </c>
      <c r="E119" s="6">
        <v>1741.2560000000001</v>
      </c>
      <c r="F119" s="6">
        <v>1741.2560000000001</v>
      </c>
    </row>
    <row r="120" spans="2:6" x14ac:dyDescent="0.25">
      <c r="B120" s="1" t="s">
        <v>88</v>
      </c>
      <c r="C120" s="16">
        <f>SUM(C117:C119)</f>
        <v>7857.5560000000005</v>
      </c>
      <c r="D120" s="9">
        <f>SUM(D117:D119)</f>
        <v>7857.5560000000005</v>
      </c>
      <c r="E120" s="9">
        <f>SUM(E117:E119)</f>
        <v>7857.5560000000005</v>
      </c>
      <c r="F120" s="9">
        <f>SUM(F117:F119)</f>
        <v>7857.5560000000005</v>
      </c>
    </row>
    <row r="121" spans="2:6" x14ac:dyDescent="0.25">
      <c r="B121" s="2" t="s">
        <v>89</v>
      </c>
      <c r="C121" s="18"/>
      <c r="D121" s="6"/>
      <c r="E121" s="6"/>
      <c r="F121" s="6"/>
    </row>
    <row r="122" spans="2:6" x14ac:dyDescent="0.25">
      <c r="B122" s="14" t="s">
        <v>90</v>
      </c>
      <c r="C122" s="18">
        <v>-6518.015000000014</v>
      </c>
      <c r="D122" s="18">
        <v>8370.984999999986</v>
      </c>
      <c r="E122" s="18">
        <v>13790.984999999986</v>
      </c>
      <c r="F122" s="18">
        <v>13790.984999999986</v>
      </c>
    </row>
    <row r="123" spans="2:6" x14ac:dyDescent="0.25">
      <c r="B123" s="14" t="s">
        <v>91</v>
      </c>
      <c r="C123" s="18">
        <v>27058</v>
      </c>
      <c r="D123" s="18">
        <v>17057</v>
      </c>
      <c r="E123" s="18">
        <v>32057</v>
      </c>
      <c r="F123" s="18">
        <v>32024</v>
      </c>
    </row>
    <row r="124" spans="2:6" x14ac:dyDescent="0.25">
      <c r="B124" s="14" t="s">
        <v>92</v>
      </c>
      <c r="C124" s="18">
        <v>-82712.813999999998</v>
      </c>
      <c r="D124" s="18">
        <v>-296761.45799999998</v>
      </c>
      <c r="E124" s="18">
        <v>-227694.43900000001</v>
      </c>
      <c r="F124" s="18">
        <v>-184574.772</v>
      </c>
    </row>
    <row r="125" spans="2:6" x14ac:dyDescent="0.25">
      <c r="B125" s="1" t="s">
        <v>93</v>
      </c>
      <c r="C125" s="16">
        <f>C122+C123+C124</f>
        <v>-62172.829000000012</v>
      </c>
      <c r="D125" s="9">
        <f t="shared" ref="D125:F125" si="13">D122+D123+D124</f>
        <v>-271333.473</v>
      </c>
      <c r="E125" s="9">
        <f t="shared" si="13"/>
        <v>-181846.45400000003</v>
      </c>
      <c r="F125" s="9">
        <f t="shared" si="13"/>
        <v>-138759.78700000001</v>
      </c>
    </row>
    <row r="126" spans="2:6" x14ac:dyDescent="0.25">
      <c r="B126" s="44" t="s">
        <v>10</v>
      </c>
      <c r="C126" s="28">
        <f>C120+C125</f>
        <v>-54315.273000000016</v>
      </c>
      <c r="D126" s="7">
        <f>D120+D125</f>
        <v>-263475.91700000002</v>
      </c>
      <c r="E126" s="7">
        <f>E120+E125</f>
        <v>-173988.89800000002</v>
      </c>
      <c r="F126" s="7">
        <f>F120+F125</f>
        <v>-130902.23100000001</v>
      </c>
    </row>
    <row r="127" spans="2:6" x14ac:dyDescent="0.25">
      <c r="B127" s="14" t="s">
        <v>29</v>
      </c>
      <c r="C127" s="19"/>
      <c r="D127" s="14"/>
      <c r="E127" s="14"/>
      <c r="F127" s="14"/>
    </row>
    <row r="128" spans="2:6" x14ac:dyDescent="0.25">
      <c r="B128" s="5"/>
      <c r="C128" s="15"/>
      <c r="D128" s="15"/>
      <c r="E128" s="15"/>
      <c r="F128" s="15"/>
    </row>
    <row r="130" spans="2:6" x14ac:dyDescent="0.25">
      <c r="B130" s="14" t="s">
        <v>94</v>
      </c>
      <c r="C130" s="14"/>
      <c r="D130" s="14"/>
      <c r="E130" s="14"/>
      <c r="F130" s="14"/>
    </row>
    <row r="131" spans="2:6" x14ac:dyDescent="0.25">
      <c r="B131" s="30" t="s">
        <v>83</v>
      </c>
      <c r="C131" s="27" t="s">
        <v>3</v>
      </c>
      <c r="D131" s="27" t="s">
        <v>4</v>
      </c>
      <c r="E131" s="27" t="s">
        <v>5</v>
      </c>
      <c r="F131" s="27" t="s">
        <v>6</v>
      </c>
    </row>
    <row r="132" spans="2:6" x14ac:dyDescent="0.25">
      <c r="B132" s="2" t="s">
        <v>84</v>
      </c>
      <c r="C132" s="18"/>
      <c r="D132" s="6"/>
      <c r="E132" s="6"/>
      <c r="F132" s="6"/>
    </row>
    <row r="133" spans="2:6" x14ac:dyDescent="0.25">
      <c r="B133" s="14" t="s">
        <v>85</v>
      </c>
      <c r="C133" s="18">
        <f t="shared" ref="C133:F135" si="14">C6+C22+C38+C53+C69+C85+C101+C117</f>
        <v>97107.747000000003</v>
      </c>
      <c r="D133" s="18">
        <f t="shared" si="14"/>
        <v>97107.747000000003</v>
      </c>
      <c r="E133" s="18">
        <f t="shared" si="14"/>
        <v>97107.747000000003</v>
      </c>
      <c r="F133" s="18">
        <f t="shared" si="14"/>
        <v>97107.747000000003</v>
      </c>
    </row>
    <row r="134" spans="2:6" x14ac:dyDescent="0.25">
      <c r="B134" s="14" t="s">
        <v>86</v>
      </c>
      <c r="C134" s="18">
        <f t="shared" si="14"/>
        <v>32876.400000000001</v>
      </c>
      <c r="D134" s="18">
        <f t="shared" si="14"/>
        <v>32876.400000000001</v>
      </c>
      <c r="E134" s="18">
        <f t="shared" si="14"/>
        <v>32876.400000000001</v>
      </c>
      <c r="F134" s="18">
        <f t="shared" si="14"/>
        <v>32876.400000000001</v>
      </c>
    </row>
    <row r="135" spans="2:6" x14ac:dyDescent="0.25">
      <c r="B135" s="14" t="s">
        <v>87</v>
      </c>
      <c r="C135" s="18">
        <f t="shared" si="14"/>
        <v>11838.755999999999</v>
      </c>
      <c r="D135" s="18">
        <f t="shared" si="14"/>
        <v>15838.755999999999</v>
      </c>
      <c r="E135" s="18">
        <f t="shared" si="14"/>
        <v>21838.756000000001</v>
      </c>
      <c r="F135" s="18">
        <f t="shared" si="14"/>
        <v>21838.756000000001</v>
      </c>
    </row>
    <row r="136" spans="2:6" x14ac:dyDescent="0.25">
      <c r="B136" s="1" t="s">
        <v>88</v>
      </c>
      <c r="C136" s="16">
        <f>SUM(C133:C135)</f>
        <v>141822.90299999999</v>
      </c>
      <c r="D136" s="9">
        <f>SUM(D133:D135)</f>
        <v>145822.90299999999</v>
      </c>
      <c r="E136" s="9">
        <f>SUM(E133:E135)</f>
        <v>151822.90299999999</v>
      </c>
      <c r="F136" s="9">
        <f>SUM(F133:F135)</f>
        <v>151822.90299999999</v>
      </c>
    </row>
    <row r="137" spans="2:6" x14ac:dyDescent="0.25">
      <c r="B137" s="2" t="s">
        <v>89</v>
      </c>
      <c r="C137" s="18"/>
      <c r="D137" s="6"/>
      <c r="E137" s="6"/>
      <c r="F137" s="6"/>
    </row>
    <row r="138" spans="2:6" x14ac:dyDescent="0.25">
      <c r="B138" s="14" t="s">
        <v>90</v>
      </c>
      <c r="C138" s="18">
        <f>C11+C27+C43+C58+C74+C90+C106+C122</f>
        <v>22374.32</v>
      </c>
      <c r="D138" s="18">
        <f>D11+D27+D43+D58+D74+D90+D106+D122</f>
        <v>44973.11099999999</v>
      </c>
      <c r="E138" s="18">
        <f>E11+E27+E43+E58+E74+E90+E106+E122</f>
        <v>35563.688999999984</v>
      </c>
      <c r="F138" s="18">
        <f>F11+F27+F43+F58+F74+F90+F106+F122</f>
        <v>35565.688999999984</v>
      </c>
    </row>
    <row r="139" spans="2:6" x14ac:dyDescent="0.25">
      <c r="B139" s="14" t="s">
        <v>91</v>
      </c>
      <c r="C139" s="18">
        <f t="shared" ref="C139:F140" si="15">C107+C91+C75+C59+C44+C28+C12+C123</f>
        <v>82425</v>
      </c>
      <c r="D139" s="18">
        <f t="shared" si="15"/>
        <v>95284</v>
      </c>
      <c r="E139" s="18">
        <f t="shared" si="15"/>
        <v>117649</v>
      </c>
      <c r="F139" s="18">
        <f t="shared" si="15"/>
        <v>142695</v>
      </c>
    </row>
    <row r="140" spans="2:6" x14ac:dyDescent="0.25">
      <c r="B140" s="14" t="s">
        <v>92</v>
      </c>
      <c r="C140" s="18">
        <f t="shared" si="15"/>
        <v>-170870.81400000001</v>
      </c>
      <c r="D140" s="18">
        <f t="shared" si="15"/>
        <v>-439186.45799999998</v>
      </c>
      <c r="E140" s="18">
        <f t="shared" si="15"/>
        <v>-464703.43900000001</v>
      </c>
      <c r="F140" s="18">
        <f t="shared" si="15"/>
        <v>-489059.772</v>
      </c>
    </row>
    <row r="141" spans="2:6" x14ac:dyDescent="0.25">
      <c r="B141" s="1" t="s">
        <v>93</v>
      </c>
      <c r="C141" s="16">
        <f>C138+C139+C140</f>
        <v>-66071.494000000006</v>
      </c>
      <c r="D141" s="9">
        <f t="shared" ref="D141" si="16">D138+D139+D140</f>
        <v>-298929.34700000001</v>
      </c>
      <c r="E141" s="9">
        <f t="shared" ref="E141" si="17">E138+E139+E140</f>
        <v>-311490.75</v>
      </c>
      <c r="F141" s="9">
        <f t="shared" ref="F141" si="18">F138+F139+F140</f>
        <v>-310799.08299999998</v>
      </c>
    </row>
    <row r="142" spans="2:6" x14ac:dyDescent="0.25">
      <c r="B142" s="44" t="s">
        <v>10</v>
      </c>
      <c r="C142" s="28">
        <f>C136+C141</f>
        <v>75751.408999999985</v>
      </c>
      <c r="D142" s="7">
        <f>D136+D141</f>
        <v>-153106.44400000002</v>
      </c>
      <c r="E142" s="7">
        <f>E136+E141</f>
        <v>-159667.84700000001</v>
      </c>
      <c r="F142" s="7">
        <f>F136+F141</f>
        <v>-158976.18</v>
      </c>
    </row>
    <row r="143" spans="2:6" x14ac:dyDescent="0.25">
      <c r="B143" s="14" t="s">
        <v>29</v>
      </c>
      <c r="C143" s="19"/>
      <c r="D143" s="14"/>
      <c r="E143" s="14"/>
      <c r="F143" s="14"/>
    </row>
    <row r="144" spans="2:6" x14ac:dyDescent="0.25">
      <c r="B144" s="5"/>
      <c r="C144" s="15"/>
      <c r="D144" s="15"/>
      <c r="E144" s="15"/>
      <c r="F144" s="15"/>
    </row>
    <row r="145" spans="2:6" x14ac:dyDescent="0.25">
      <c r="B145" s="14"/>
      <c r="C145" s="4"/>
      <c r="D145" s="4"/>
      <c r="E145" s="4"/>
      <c r="F145" s="4"/>
    </row>
  </sheetData>
  <pageMargins left="0.7" right="0.7" top="0.75" bottom="0.75" header="0.3" footer="0.3"/>
  <pageSetup paperSize="9" fitToHeight="0" orientation="portrait" r:id="rId1"/>
  <ignoredErrors>
    <ignoredError sqref="D110:F1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workbookViewId="0">
      <selection activeCell="A57" sqref="A57"/>
    </sheetView>
  </sheetViews>
  <sheetFormatPr baseColWidth="10" defaultRowHeight="15" x14ac:dyDescent="0.25"/>
  <cols>
    <col min="1" max="1" width="56.85546875" style="3" customWidth="1"/>
    <col min="2" max="2" width="12.7109375" style="3" bestFit="1" customWidth="1"/>
    <col min="3" max="6" width="13" style="3" bestFit="1" customWidth="1"/>
    <col min="7" max="16384" width="11.42578125" style="46"/>
  </cols>
  <sheetData>
    <row r="1" spans="1:6" ht="18.75" x14ac:dyDescent="0.3">
      <c r="A1" s="49" t="s">
        <v>220</v>
      </c>
    </row>
    <row r="3" spans="1:6" x14ac:dyDescent="0.25">
      <c r="A3" s="50"/>
      <c r="B3" s="51"/>
      <c r="C3" s="50"/>
      <c r="D3" s="50"/>
      <c r="E3" s="50"/>
      <c r="F3" s="50"/>
    </row>
    <row r="4" spans="1:6" x14ac:dyDescent="0.25">
      <c r="A4" s="64" t="s">
        <v>0</v>
      </c>
      <c r="B4" s="65" t="s">
        <v>311</v>
      </c>
      <c r="C4" s="27">
        <v>2020</v>
      </c>
      <c r="D4" s="27">
        <v>2021</v>
      </c>
      <c r="E4" s="27">
        <v>2023</v>
      </c>
      <c r="F4" s="27">
        <v>2024</v>
      </c>
    </row>
    <row r="5" spans="1:6" x14ac:dyDescent="0.25">
      <c r="A5" s="51" t="s">
        <v>221</v>
      </c>
      <c r="B5" s="51" t="s">
        <v>215</v>
      </c>
      <c r="C5" s="66">
        <v>-12000</v>
      </c>
      <c r="D5" s="66">
        <v>-18000</v>
      </c>
      <c r="E5" s="66">
        <v>-25000</v>
      </c>
      <c r="F5" s="66">
        <v>-25000</v>
      </c>
    </row>
    <row r="6" spans="1:6" x14ac:dyDescent="0.25">
      <c r="A6" s="51" t="s">
        <v>222</v>
      </c>
      <c r="B6" s="51" t="s">
        <v>215</v>
      </c>
      <c r="C6" s="66">
        <v>600</v>
      </c>
      <c r="D6" s="66">
        <v>600</v>
      </c>
      <c r="E6" s="66">
        <v>600</v>
      </c>
      <c r="F6" s="66">
        <v>600</v>
      </c>
    </row>
    <row r="7" spans="1:6" x14ac:dyDescent="0.25">
      <c r="A7" s="51" t="s">
        <v>223</v>
      </c>
      <c r="B7" s="51" t="s">
        <v>215</v>
      </c>
      <c r="C7" s="66">
        <v>-320</v>
      </c>
      <c r="D7" s="66">
        <v>-320</v>
      </c>
      <c r="E7" s="66">
        <v>-320</v>
      </c>
      <c r="F7" s="66">
        <v>-320</v>
      </c>
    </row>
    <row r="8" spans="1:6" x14ac:dyDescent="0.25">
      <c r="A8" s="51" t="s">
        <v>224</v>
      </c>
      <c r="B8" s="51" t="s">
        <v>215</v>
      </c>
      <c r="C8" s="66">
        <v>25</v>
      </c>
      <c r="D8" s="66">
        <v>25</v>
      </c>
      <c r="E8" s="66">
        <v>25</v>
      </c>
      <c r="F8" s="66">
        <v>25</v>
      </c>
    </row>
    <row r="9" spans="1:6" x14ac:dyDescent="0.25">
      <c r="A9" s="51" t="s">
        <v>225</v>
      </c>
      <c r="B9" s="51" t="s">
        <v>215</v>
      </c>
      <c r="C9" s="66">
        <v>225</v>
      </c>
      <c r="D9" s="66">
        <v>450</v>
      </c>
      <c r="E9" s="66">
        <v>450</v>
      </c>
      <c r="F9" s="66">
        <v>450</v>
      </c>
    </row>
    <row r="10" spans="1:6" x14ac:dyDescent="0.25">
      <c r="A10" s="51" t="s">
        <v>226</v>
      </c>
      <c r="B10" s="51" t="s">
        <v>215</v>
      </c>
      <c r="C10" s="66">
        <v>500</v>
      </c>
      <c r="D10" s="66">
        <v>500</v>
      </c>
      <c r="E10" s="66">
        <v>500</v>
      </c>
      <c r="F10" s="66">
        <v>500</v>
      </c>
    </row>
    <row r="11" spans="1:6" x14ac:dyDescent="0.25">
      <c r="A11" s="51" t="s">
        <v>227</v>
      </c>
      <c r="B11" s="51" t="s">
        <v>215</v>
      </c>
      <c r="C11" s="66">
        <v>-500</v>
      </c>
      <c r="D11" s="66">
        <v>-500</v>
      </c>
      <c r="E11" s="66">
        <v>-500</v>
      </c>
      <c r="F11" s="66">
        <v>-500</v>
      </c>
    </row>
    <row r="12" spans="1:6" x14ac:dyDescent="0.25">
      <c r="A12" s="51" t="s">
        <v>228</v>
      </c>
      <c r="B12" s="51" t="s">
        <v>215</v>
      </c>
      <c r="C12" s="66">
        <v>-100</v>
      </c>
      <c r="D12" s="66">
        <v>-100</v>
      </c>
      <c r="E12" s="66">
        <v>-100</v>
      </c>
      <c r="F12" s="66">
        <v>-100</v>
      </c>
    </row>
    <row r="13" spans="1:6" x14ac:dyDescent="0.25">
      <c r="A13" s="51" t="s">
        <v>229</v>
      </c>
      <c r="B13" s="51" t="s">
        <v>215</v>
      </c>
      <c r="C13" s="66">
        <v>-1200</v>
      </c>
      <c r="D13" s="66">
        <v>-1200</v>
      </c>
      <c r="E13" s="66">
        <v>-1200</v>
      </c>
      <c r="F13" s="66">
        <v>-1200</v>
      </c>
    </row>
    <row r="14" spans="1:6" x14ac:dyDescent="0.25">
      <c r="A14" s="51" t="s">
        <v>230</v>
      </c>
      <c r="B14" s="51" t="s">
        <v>215</v>
      </c>
      <c r="C14" s="66">
        <v>-1440</v>
      </c>
      <c r="D14" s="66">
        <v>-1440</v>
      </c>
      <c r="E14" s="66">
        <v>-1440</v>
      </c>
      <c r="F14" s="66">
        <v>-1440</v>
      </c>
    </row>
    <row r="15" spans="1:6" x14ac:dyDescent="0.25">
      <c r="A15" s="51" t="s">
        <v>231</v>
      </c>
      <c r="B15" s="51" t="s">
        <v>215</v>
      </c>
      <c r="C15" s="66">
        <v>-271.09999999999991</v>
      </c>
      <c r="D15" s="66">
        <v>-271.09999999999991</v>
      </c>
      <c r="E15" s="66">
        <v>-271.09999999999991</v>
      </c>
      <c r="F15" s="66">
        <v>-271.09999999999991</v>
      </c>
    </row>
    <row r="16" spans="1:6" x14ac:dyDescent="0.25">
      <c r="A16" s="51" t="s">
        <v>232</v>
      </c>
      <c r="B16" s="51" t="s">
        <v>215</v>
      </c>
      <c r="C16" s="66">
        <v>-675</v>
      </c>
      <c r="D16" s="66">
        <v>-675</v>
      </c>
      <c r="E16" s="66">
        <v>-675</v>
      </c>
      <c r="F16" s="66">
        <v>-675</v>
      </c>
    </row>
    <row r="17" spans="1:6" x14ac:dyDescent="0.25">
      <c r="A17" s="50" t="s">
        <v>233</v>
      </c>
      <c r="B17" s="51" t="s">
        <v>215</v>
      </c>
      <c r="C17" s="66">
        <v>60</v>
      </c>
      <c r="D17" s="66">
        <v>60</v>
      </c>
      <c r="E17" s="66">
        <v>60</v>
      </c>
      <c r="F17" s="66">
        <v>60</v>
      </c>
    </row>
    <row r="18" spans="1:6" x14ac:dyDescent="0.25">
      <c r="A18" s="50" t="s">
        <v>234</v>
      </c>
      <c r="B18" s="51" t="s">
        <v>215</v>
      </c>
      <c r="C18" s="66">
        <v>-1000</v>
      </c>
      <c r="D18" s="66">
        <v>1500</v>
      </c>
      <c r="E18" s="66">
        <v>-1000</v>
      </c>
      <c r="F18" s="66">
        <v>-1000</v>
      </c>
    </row>
    <row r="19" spans="1:6" x14ac:dyDescent="0.25">
      <c r="A19" s="51" t="s">
        <v>235</v>
      </c>
      <c r="B19" s="51" t="s">
        <v>215</v>
      </c>
      <c r="C19" s="66">
        <v>-150</v>
      </c>
      <c r="D19" s="66">
        <v>-150</v>
      </c>
      <c r="E19" s="66">
        <v>-150</v>
      </c>
      <c r="F19" s="66">
        <v>-150</v>
      </c>
    </row>
    <row r="20" spans="1:6" x14ac:dyDescent="0.25">
      <c r="A20" s="3" t="s">
        <v>236</v>
      </c>
      <c r="B20" s="51" t="s">
        <v>215</v>
      </c>
      <c r="C20" s="66">
        <v>-3000</v>
      </c>
      <c r="D20" s="66">
        <v>-3000</v>
      </c>
      <c r="E20" s="66">
        <v>-3000</v>
      </c>
      <c r="F20" s="66">
        <v>-3000</v>
      </c>
    </row>
    <row r="21" spans="1:6" x14ac:dyDescent="0.25">
      <c r="A21" s="3" t="s">
        <v>313</v>
      </c>
      <c r="B21" s="51" t="s">
        <v>215</v>
      </c>
      <c r="C21" s="66">
        <v>-425</v>
      </c>
      <c r="D21" s="66">
        <v>-425</v>
      </c>
      <c r="E21" s="66">
        <v>-425</v>
      </c>
      <c r="F21" s="66">
        <v>-425</v>
      </c>
    </row>
    <row r="22" spans="1:6" x14ac:dyDescent="0.25">
      <c r="A22" s="53" t="s">
        <v>237</v>
      </c>
      <c r="B22" s="53"/>
      <c r="C22" s="54">
        <f>SUM(C5:C21)</f>
        <v>-19671.099999999999</v>
      </c>
      <c r="D22" s="54">
        <f t="shared" ref="D22:F22" si="0">SUM(D5:D21)</f>
        <v>-22946.1</v>
      </c>
      <c r="E22" s="54">
        <f t="shared" si="0"/>
        <v>-32446.1</v>
      </c>
      <c r="F22" s="54">
        <f t="shared" si="0"/>
        <v>-32446.1</v>
      </c>
    </row>
    <row r="23" spans="1:6" x14ac:dyDescent="0.25">
      <c r="B23" s="51"/>
    </row>
    <row r="24" spans="1:6" x14ac:dyDescent="0.25">
      <c r="A24" s="64" t="s">
        <v>11</v>
      </c>
      <c r="B24" s="65" t="s">
        <v>311</v>
      </c>
      <c r="C24" s="27">
        <v>2020</v>
      </c>
      <c r="D24" s="27">
        <v>2021</v>
      </c>
      <c r="E24" s="27">
        <v>2023</v>
      </c>
      <c r="F24" s="27">
        <v>2024</v>
      </c>
    </row>
    <row r="25" spans="1:6" x14ac:dyDescent="0.25">
      <c r="A25" s="51" t="s">
        <v>238</v>
      </c>
      <c r="B25" s="51" t="s">
        <v>215</v>
      </c>
      <c r="C25" s="47">
        <v>200</v>
      </c>
      <c r="D25" s="47">
        <v>200</v>
      </c>
      <c r="E25" s="47">
        <v>200</v>
      </c>
      <c r="F25" s="47">
        <v>200</v>
      </c>
    </row>
    <row r="26" spans="1:6" x14ac:dyDescent="0.25">
      <c r="A26" s="53" t="s">
        <v>239</v>
      </c>
      <c r="B26" s="53"/>
      <c r="C26" s="42">
        <f>SUM(C25)</f>
        <v>200</v>
      </c>
      <c r="D26" s="42">
        <f t="shared" ref="D26:F26" si="1">SUM(D25)</f>
        <v>200</v>
      </c>
      <c r="E26" s="42">
        <f t="shared" si="1"/>
        <v>200</v>
      </c>
      <c r="F26" s="42">
        <f t="shared" si="1"/>
        <v>200</v>
      </c>
    </row>
    <row r="27" spans="1:6" x14ac:dyDescent="0.25">
      <c r="A27" s="55"/>
      <c r="B27" s="55"/>
      <c r="C27" s="56"/>
      <c r="D27" s="56"/>
      <c r="E27" s="56"/>
      <c r="F27" s="56"/>
    </row>
    <row r="28" spans="1:6" x14ac:dyDescent="0.25">
      <c r="A28" s="64" t="s">
        <v>12</v>
      </c>
      <c r="B28" s="65" t="s">
        <v>311</v>
      </c>
      <c r="C28" s="27">
        <v>2020</v>
      </c>
      <c r="D28" s="27">
        <v>2021</v>
      </c>
      <c r="E28" s="27">
        <v>2023</v>
      </c>
      <c r="F28" s="27">
        <v>2024</v>
      </c>
    </row>
    <row r="29" spans="1:6" x14ac:dyDescent="0.25">
      <c r="A29" s="51" t="s">
        <v>240</v>
      </c>
      <c r="B29" s="51" t="s">
        <v>215</v>
      </c>
      <c r="C29" s="50">
        <f>-862.3-904-57</f>
        <v>-1823.3</v>
      </c>
      <c r="D29" s="50">
        <f>-863.2-904-57</f>
        <v>-1824.2</v>
      </c>
      <c r="E29" s="50">
        <f>-863.2-904-54</f>
        <v>-1821.2</v>
      </c>
      <c r="F29" s="50">
        <f>-863.2-904-54</f>
        <v>-1821.2</v>
      </c>
    </row>
    <row r="30" spans="1:6" x14ac:dyDescent="0.25">
      <c r="A30" s="50" t="s">
        <v>241</v>
      </c>
      <c r="B30" s="51" t="s">
        <v>215</v>
      </c>
      <c r="C30" s="50">
        <v>500</v>
      </c>
      <c r="D30" s="50">
        <v>500</v>
      </c>
      <c r="E30" s="50">
        <v>0</v>
      </c>
      <c r="F30" s="50">
        <v>0</v>
      </c>
    </row>
    <row r="31" spans="1:6" x14ac:dyDescent="0.25">
      <c r="A31" s="50" t="s">
        <v>242</v>
      </c>
      <c r="B31" s="51" t="s">
        <v>215</v>
      </c>
      <c r="C31" s="50">
        <v>270</v>
      </c>
      <c r="D31" s="50">
        <v>270</v>
      </c>
      <c r="E31" s="50">
        <v>270</v>
      </c>
      <c r="F31" s="50">
        <v>270</v>
      </c>
    </row>
    <row r="32" spans="1:6" x14ac:dyDescent="0.25">
      <c r="A32" s="51" t="s">
        <v>243</v>
      </c>
      <c r="B32" s="51" t="s">
        <v>215</v>
      </c>
      <c r="C32" s="50">
        <v>250</v>
      </c>
      <c r="D32" s="50">
        <v>250</v>
      </c>
      <c r="E32" s="50">
        <v>250</v>
      </c>
      <c r="F32" s="50">
        <v>250</v>
      </c>
    </row>
    <row r="33" spans="1:6" x14ac:dyDescent="0.25">
      <c r="A33" s="53" t="s">
        <v>244</v>
      </c>
      <c r="B33" s="57"/>
      <c r="C33" s="53">
        <f>SUM(C29:C32)</f>
        <v>-803.3</v>
      </c>
      <c r="D33" s="53">
        <f t="shared" ref="D33:F33" si="2">SUM(D29:D32)</f>
        <v>-804.2</v>
      </c>
      <c r="E33" s="53">
        <f t="shared" si="2"/>
        <v>-1301.2</v>
      </c>
      <c r="F33" s="53">
        <f t="shared" si="2"/>
        <v>-1301.2</v>
      </c>
    </row>
    <row r="34" spans="1:6" x14ac:dyDescent="0.25">
      <c r="A34" s="55"/>
      <c r="B34" s="51"/>
      <c r="C34" s="55"/>
      <c r="D34" s="55"/>
      <c r="E34" s="55"/>
      <c r="F34" s="55"/>
    </row>
    <row r="35" spans="1:6" x14ac:dyDescent="0.25">
      <c r="A35" s="64" t="s">
        <v>13</v>
      </c>
      <c r="B35" s="65" t="s">
        <v>311</v>
      </c>
      <c r="C35" s="27">
        <v>2020</v>
      </c>
      <c r="D35" s="27">
        <v>2021</v>
      </c>
      <c r="E35" s="27">
        <v>2023</v>
      </c>
      <c r="F35" s="27">
        <v>2024</v>
      </c>
    </row>
    <row r="36" spans="1:6" x14ac:dyDescent="0.25">
      <c r="A36" s="51" t="s">
        <v>245</v>
      </c>
      <c r="B36" s="51" t="s">
        <v>215</v>
      </c>
      <c r="C36" s="50">
        <v>3836.1000000000004</v>
      </c>
      <c r="D36" s="50">
        <v>3836.1000000000004</v>
      </c>
      <c r="E36" s="50">
        <v>3836.1000000000004</v>
      </c>
      <c r="F36" s="50">
        <v>3836.1000000000004</v>
      </c>
    </row>
    <row r="37" spans="1:6" x14ac:dyDescent="0.25">
      <c r="A37" s="51" t="s">
        <v>246</v>
      </c>
      <c r="B37" s="51" t="s">
        <v>215</v>
      </c>
      <c r="C37" s="50">
        <v>1750</v>
      </c>
      <c r="D37" s="50">
        <v>1750</v>
      </c>
      <c r="E37" s="50">
        <v>1750</v>
      </c>
      <c r="F37" s="50">
        <v>1750</v>
      </c>
    </row>
    <row r="38" spans="1:6" x14ac:dyDescent="0.25">
      <c r="A38" s="50" t="s">
        <v>247</v>
      </c>
      <c r="B38" s="51" t="s">
        <v>215</v>
      </c>
      <c r="C38" s="50">
        <v>-1000</v>
      </c>
      <c r="D38" s="50">
        <v>-2000</v>
      </c>
      <c r="E38" s="50">
        <v>-2000</v>
      </c>
      <c r="F38" s="50">
        <v>-2000</v>
      </c>
    </row>
    <row r="39" spans="1:6" x14ac:dyDescent="0.25">
      <c r="A39" s="50" t="s">
        <v>248</v>
      </c>
      <c r="B39" s="51" t="s">
        <v>215</v>
      </c>
      <c r="C39" s="51">
        <v>500</v>
      </c>
      <c r="D39" s="51">
        <v>0</v>
      </c>
      <c r="E39" s="51">
        <v>0</v>
      </c>
      <c r="F39" s="51">
        <v>0</v>
      </c>
    </row>
    <row r="40" spans="1:6" x14ac:dyDescent="0.25">
      <c r="A40" s="50" t="s">
        <v>249</v>
      </c>
      <c r="B40" s="51" t="s">
        <v>215</v>
      </c>
      <c r="C40" s="51">
        <v>0</v>
      </c>
      <c r="D40" s="51">
        <v>600</v>
      </c>
      <c r="E40" s="51">
        <v>0</v>
      </c>
      <c r="F40" s="51">
        <v>0</v>
      </c>
    </row>
    <row r="41" spans="1:6" x14ac:dyDescent="0.25">
      <c r="A41" s="50" t="s">
        <v>250</v>
      </c>
      <c r="B41" s="51" t="s">
        <v>215</v>
      </c>
      <c r="C41" s="51">
        <v>-900</v>
      </c>
      <c r="D41" s="51">
        <v>-900</v>
      </c>
      <c r="E41" s="51">
        <v>-900</v>
      </c>
      <c r="F41" s="51">
        <v>-900</v>
      </c>
    </row>
    <row r="42" spans="1:6" x14ac:dyDescent="0.25">
      <c r="A42" s="50" t="s">
        <v>251</v>
      </c>
      <c r="B42" s="51" t="s">
        <v>215</v>
      </c>
      <c r="C42" s="51">
        <v>0</v>
      </c>
      <c r="D42" s="51">
        <v>-100</v>
      </c>
      <c r="E42" s="51">
        <v>-200</v>
      </c>
      <c r="F42" s="51">
        <v>-200</v>
      </c>
    </row>
    <row r="43" spans="1:6" x14ac:dyDescent="0.25">
      <c r="A43" s="50" t="s">
        <v>252</v>
      </c>
      <c r="B43" s="51" t="s">
        <v>215</v>
      </c>
      <c r="C43" s="51">
        <v>645</v>
      </c>
      <c r="D43" s="51">
        <v>1290</v>
      </c>
      <c r="E43" s="51">
        <v>1290</v>
      </c>
      <c r="F43" s="51">
        <v>1290</v>
      </c>
    </row>
    <row r="44" spans="1:6" x14ac:dyDescent="0.25">
      <c r="A44" s="58" t="s">
        <v>253</v>
      </c>
      <c r="B44" s="51" t="s">
        <v>215</v>
      </c>
      <c r="C44" s="51">
        <v>50</v>
      </c>
      <c r="D44" s="51">
        <v>50</v>
      </c>
      <c r="E44" s="51">
        <v>50</v>
      </c>
      <c r="F44" s="51">
        <v>50</v>
      </c>
    </row>
    <row r="45" spans="1:6" x14ac:dyDescent="0.25">
      <c r="A45" s="50" t="s">
        <v>254</v>
      </c>
      <c r="B45" s="51" t="s">
        <v>215</v>
      </c>
      <c r="C45" s="50">
        <v>3350</v>
      </c>
      <c r="D45" s="50">
        <v>12100</v>
      </c>
      <c r="E45" s="50">
        <v>12100</v>
      </c>
      <c r="F45" s="50">
        <v>12100</v>
      </c>
    </row>
    <row r="46" spans="1:6" x14ac:dyDescent="0.25">
      <c r="A46" s="50" t="s">
        <v>255</v>
      </c>
      <c r="B46" s="51" t="s">
        <v>215</v>
      </c>
      <c r="C46" s="51">
        <v>-500</v>
      </c>
      <c r="D46" s="51">
        <v>-1400</v>
      </c>
      <c r="E46" s="51">
        <v>-1800</v>
      </c>
      <c r="F46" s="51">
        <v>-1800</v>
      </c>
    </row>
    <row r="47" spans="1:6" x14ac:dyDescent="0.25">
      <c r="A47" s="50" t="s">
        <v>256</v>
      </c>
      <c r="B47" s="51" t="s">
        <v>215</v>
      </c>
      <c r="C47" s="51">
        <v>-1000</v>
      </c>
      <c r="D47" s="51">
        <v>-1000</v>
      </c>
      <c r="E47" s="51">
        <v>-1000</v>
      </c>
      <c r="F47" s="51">
        <v>-1000</v>
      </c>
    </row>
    <row r="48" spans="1:6" x14ac:dyDescent="0.25">
      <c r="A48" s="50" t="s">
        <v>257</v>
      </c>
      <c r="B48" s="51" t="s">
        <v>215</v>
      </c>
      <c r="C48" s="51">
        <v>-16559.2</v>
      </c>
      <c r="D48" s="51">
        <v>-18409.2</v>
      </c>
      <c r="E48" s="51">
        <v>-18409.2</v>
      </c>
      <c r="F48" s="51">
        <v>-18409.2</v>
      </c>
    </row>
    <row r="49" spans="1:6" x14ac:dyDescent="0.25">
      <c r="A49" s="50" t="s">
        <v>258</v>
      </c>
      <c r="B49" s="51" t="s">
        <v>215</v>
      </c>
      <c r="C49" s="51">
        <v>2451</v>
      </c>
      <c r="D49" s="51">
        <v>2451</v>
      </c>
      <c r="E49" s="51">
        <v>2451</v>
      </c>
      <c r="F49" s="51">
        <v>2451</v>
      </c>
    </row>
    <row r="50" spans="1:6" x14ac:dyDescent="0.25">
      <c r="A50" s="50" t="s">
        <v>259</v>
      </c>
      <c r="B50" s="51" t="s">
        <v>215</v>
      </c>
      <c r="C50" s="51">
        <v>0</v>
      </c>
      <c r="D50" s="51">
        <v>-150</v>
      </c>
      <c r="E50" s="51">
        <v>-150</v>
      </c>
      <c r="F50" s="51">
        <v>-150</v>
      </c>
    </row>
    <row r="51" spans="1:6" x14ac:dyDescent="0.25">
      <c r="A51" s="50" t="s">
        <v>260</v>
      </c>
      <c r="B51" s="51" t="s">
        <v>215</v>
      </c>
      <c r="C51" s="51">
        <v>5775</v>
      </c>
      <c r="D51" s="51">
        <v>5775</v>
      </c>
      <c r="E51" s="51">
        <v>7275</v>
      </c>
      <c r="F51" s="51">
        <v>7275</v>
      </c>
    </row>
    <row r="52" spans="1:6" x14ac:dyDescent="0.25">
      <c r="A52" s="59" t="s">
        <v>261</v>
      </c>
      <c r="B52" s="51" t="s">
        <v>215</v>
      </c>
      <c r="C52" s="50">
        <v>0</v>
      </c>
      <c r="D52" s="50">
        <v>200</v>
      </c>
      <c r="E52" s="50">
        <v>200</v>
      </c>
      <c r="F52" s="50">
        <v>200</v>
      </c>
    </row>
    <row r="53" spans="1:6" x14ac:dyDescent="0.25">
      <c r="A53" s="50" t="s">
        <v>262</v>
      </c>
      <c r="B53" s="51" t="s">
        <v>215</v>
      </c>
      <c r="C53" s="50">
        <v>0</v>
      </c>
      <c r="D53" s="50">
        <v>0</v>
      </c>
      <c r="E53" s="50">
        <v>150</v>
      </c>
      <c r="F53" s="50">
        <v>150</v>
      </c>
    </row>
    <row r="54" spans="1:6" x14ac:dyDescent="0.25">
      <c r="A54" s="51" t="s">
        <v>263</v>
      </c>
      <c r="B54" s="51" t="s">
        <v>215</v>
      </c>
      <c r="C54" s="50">
        <v>0</v>
      </c>
      <c r="D54" s="50">
        <v>0</v>
      </c>
      <c r="E54" s="50">
        <v>100</v>
      </c>
      <c r="F54" s="50">
        <v>100</v>
      </c>
    </row>
    <row r="55" spans="1:6" x14ac:dyDescent="0.25">
      <c r="A55" s="50" t="s">
        <v>264</v>
      </c>
      <c r="B55" s="51" t="s">
        <v>215</v>
      </c>
      <c r="C55" s="51">
        <v>0</v>
      </c>
      <c r="D55" s="51">
        <v>0</v>
      </c>
      <c r="E55" s="51">
        <v>-621</v>
      </c>
      <c r="F55" s="51">
        <v>-621</v>
      </c>
    </row>
    <row r="56" spans="1:6" x14ac:dyDescent="0.25">
      <c r="A56" s="50" t="s">
        <v>265</v>
      </c>
      <c r="B56" s="51" t="s">
        <v>215</v>
      </c>
      <c r="C56" s="51">
        <v>-100</v>
      </c>
      <c r="D56" s="51">
        <v>-100</v>
      </c>
      <c r="E56" s="51">
        <v>-100</v>
      </c>
      <c r="F56" s="51">
        <v>-100</v>
      </c>
    </row>
    <row r="57" spans="1:6" x14ac:dyDescent="0.25">
      <c r="A57" s="50" t="s">
        <v>266</v>
      </c>
      <c r="B57" s="51" t="s">
        <v>215</v>
      </c>
      <c r="C57" s="51">
        <v>0</v>
      </c>
      <c r="D57" s="51">
        <v>90</v>
      </c>
      <c r="E57" s="51">
        <v>90</v>
      </c>
      <c r="F57" s="51">
        <v>90</v>
      </c>
    </row>
    <row r="58" spans="1:6" x14ac:dyDescent="0.25">
      <c r="A58" s="60" t="s">
        <v>267</v>
      </c>
      <c r="B58" s="51" t="s">
        <v>215</v>
      </c>
      <c r="C58" s="47">
        <v>1500</v>
      </c>
      <c r="D58" s="47">
        <v>1500</v>
      </c>
      <c r="E58" s="47">
        <v>1500</v>
      </c>
      <c r="F58" s="47">
        <v>1500</v>
      </c>
    </row>
    <row r="59" spans="1:6" x14ac:dyDescent="0.25">
      <c r="A59" s="60" t="s">
        <v>268</v>
      </c>
      <c r="B59" s="51" t="s">
        <v>215</v>
      </c>
      <c r="C59" s="47">
        <v>300</v>
      </c>
      <c r="D59" s="47">
        <v>300</v>
      </c>
      <c r="E59" s="47">
        <v>300</v>
      </c>
      <c r="F59" s="47">
        <v>300</v>
      </c>
    </row>
    <row r="60" spans="1:6" x14ac:dyDescent="0.25">
      <c r="A60" s="60" t="s">
        <v>269</v>
      </c>
      <c r="B60" s="51" t="s">
        <v>215</v>
      </c>
      <c r="C60" s="47">
        <v>600</v>
      </c>
      <c r="D60" s="47">
        <v>600</v>
      </c>
      <c r="E60" s="47">
        <v>600</v>
      </c>
      <c r="F60" s="47">
        <v>600</v>
      </c>
    </row>
    <row r="61" spans="1:6" x14ac:dyDescent="0.25">
      <c r="A61" s="60" t="s">
        <v>270</v>
      </c>
      <c r="B61" s="51" t="s">
        <v>215</v>
      </c>
      <c r="C61" s="47">
        <v>850</v>
      </c>
      <c r="D61" s="47">
        <v>850</v>
      </c>
      <c r="E61" s="47">
        <v>850</v>
      </c>
      <c r="F61" s="47">
        <v>850</v>
      </c>
    </row>
    <row r="62" spans="1:6" x14ac:dyDescent="0.25">
      <c r="A62" s="60" t="s">
        <v>271</v>
      </c>
      <c r="B62" s="51" t="s">
        <v>215</v>
      </c>
      <c r="C62" s="47">
        <v>650</v>
      </c>
      <c r="D62" s="47">
        <v>650</v>
      </c>
      <c r="E62" s="47">
        <v>650</v>
      </c>
      <c r="F62" s="47">
        <v>650</v>
      </c>
    </row>
    <row r="63" spans="1:6" x14ac:dyDescent="0.25">
      <c r="A63" s="60" t="s">
        <v>272</v>
      </c>
      <c r="B63" s="51" t="s">
        <v>215</v>
      </c>
      <c r="C63" s="47">
        <v>-500</v>
      </c>
      <c r="D63" s="47">
        <v>-500</v>
      </c>
      <c r="E63" s="47">
        <v>-500</v>
      </c>
      <c r="F63" s="47">
        <v>-500</v>
      </c>
    </row>
    <row r="64" spans="1:6" x14ac:dyDescent="0.25">
      <c r="A64" s="60" t="s">
        <v>273</v>
      </c>
      <c r="B64" s="51" t="s">
        <v>215</v>
      </c>
      <c r="C64" s="47">
        <v>250</v>
      </c>
      <c r="D64" s="47">
        <v>250</v>
      </c>
      <c r="E64" s="47">
        <v>250</v>
      </c>
      <c r="F64" s="47">
        <v>250</v>
      </c>
    </row>
    <row r="65" spans="1:12" x14ac:dyDescent="0.25">
      <c r="A65" s="60" t="s">
        <v>275</v>
      </c>
      <c r="B65" s="51" t="s">
        <v>215</v>
      </c>
      <c r="C65" s="47">
        <v>750</v>
      </c>
      <c r="D65" s="47">
        <v>-250</v>
      </c>
      <c r="E65" s="47">
        <v>-250</v>
      </c>
      <c r="F65" s="47">
        <v>-250</v>
      </c>
    </row>
    <row r="66" spans="1:12" x14ac:dyDescent="0.25">
      <c r="A66" s="60" t="s">
        <v>312</v>
      </c>
      <c r="B66" s="51" t="s">
        <v>277</v>
      </c>
      <c r="C66" s="47">
        <v>1050</v>
      </c>
      <c r="D66" s="47">
        <v>1050</v>
      </c>
      <c r="E66" s="47">
        <v>1050</v>
      </c>
      <c r="F66" s="47">
        <v>1050</v>
      </c>
    </row>
    <row r="67" spans="1:12" x14ac:dyDescent="0.25">
      <c r="A67" s="60" t="s">
        <v>276</v>
      </c>
      <c r="B67" s="51" t="s">
        <v>277</v>
      </c>
      <c r="C67" s="47">
        <v>1400</v>
      </c>
      <c r="D67" s="47">
        <v>1400</v>
      </c>
      <c r="E67" s="47">
        <v>1400</v>
      </c>
      <c r="F67" s="47">
        <v>1400</v>
      </c>
    </row>
    <row r="68" spans="1:12" x14ac:dyDescent="0.25">
      <c r="A68" s="60" t="s">
        <v>278</v>
      </c>
      <c r="B68" s="51" t="s">
        <v>277</v>
      </c>
      <c r="C68" s="47">
        <v>1100</v>
      </c>
      <c r="D68" s="47">
        <v>1100</v>
      </c>
      <c r="E68" s="47">
        <v>1100</v>
      </c>
      <c r="F68" s="47">
        <v>1100</v>
      </c>
    </row>
    <row r="69" spans="1:12" x14ac:dyDescent="0.25">
      <c r="A69" s="60" t="s">
        <v>279</v>
      </c>
      <c r="B69" s="51" t="s">
        <v>277</v>
      </c>
      <c r="C69" s="47">
        <v>170</v>
      </c>
      <c r="D69" s="47">
        <v>170</v>
      </c>
      <c r="E69" s="47">
        <v>170</v>
      </c>
      <c r="F69" s="47">
        <v>170</v>
      </c>
    </row>
    <row r="70" spans="1:12" x14ac:dyDescent="0.25">
      <c r="A70" s="60" t="s">
        <v>280</v>
      </c>
      <c r="B70" s="51" t="s">
        <v>277</v>
      </c>
      <c r="C70" s="47">
        <v>300</v>
      </c>
      <c r="D70" s="47">
        <v>300</v>
      </c>
      <c r="E70" s="47">
        <v>300</v>
      </c>
      <c r="F70" s="47">
        <v>300</v>
      </c>
    </row>
    <row r="71" spans="1:12" x14ac:dyDescent="0.25">
      <c r="A71" s="60" t="s">
        <v>281</v>
      </c>
      <c r="B71" s="51" t="s">
        <v>277</v>
      </c>
      <c r="C71" s="47">
        <v>150</v>
      </c>
      <c r="D71" s="47">
        <v>150</v>
      </c>
      <c r="E71" s="47">
        <v>150</v>
      </c>
      <c r="F71" s="47">
        <v>150</v>
      </c>
    </row>
    <row r="72" spans="1:12" x14ac:dyDescent="0.25">
      <c r="A72" s="60" t="s">
        <v>282</v>
      </c>
      <c r="B72" s="51" t="s">
        <v>277</v>
      </c>
      <c r="C72" s="47">
        <v>650</v>
      </c>
      <c r="D72" s="47">
        <v>650</v>
      </c>
      <c r="E72" s="47">
        <v>650</v>
      </c>
      <c r="F72" s="47">
        <v>650</v>
      </c>
    </row>
    <row r="73" spans="1:12" x14ac:dyDescent="0.25">
      <c r="A73" s="61" t="s">
        <v>283</v>
      </c>
      <c r="B73" s="53"/>
      <c r="C73" s="42">
        <f>SUM(C36:C72)</f>
        <v>7517.9</v>
      </c>
      <c r="D73" s="42">
        <f>SUM(D36:D72)</f>
        <v>12302.899999999998</v>
      </c>
      <c r="E73" s="42">
        <f>SUM(E36:E72)</f>
        <v>12331.9</v>
      </c>
      <c r="F73" s="42">
        <f>SUM(F36:F72)</f>
        <v>12331.9</v>
      </c>
      <c r="I73" s="4"/>
      <c r="J73" s="4"/>
      <c r="K73" s="4"/>
      <c r="L73" s="4"/>
    </row>
    <row r="74" spans="1:12" x14ac:dyDescent="0.25">
      <c r="B74" s="51"/>
    </row>
    <row r="75" spans="1:12" x14ac:dyDescent="0.25">
      <c r="A75" s="27" t="s">
        <v>14</v>
      </c>
      <c r="B75" s="65" t="s">
        <v>311</v>
      </c>
      <c r="C75" s="27">
        <v>2020</v>
      </c>
      <c r="D75" s="27">
        <v>2021</v>
      </c>
      <c r="E75" s="27">
        <v>2023</v>
      </c>
      <c r="F75" s="27">
        <v>2024</v>
      </c>
    </row>
    <row r="76" spans="1:12" x14ac:dyDescent="0.25">
      <c r="A76" s="3" t="s">
        <v>284</v>
      </c>
      <c r="B76" s="51" t="s">
        <v>215</v>
      </c>
      <c r="C76" s="66">
        <v>554</v>
      </c>
      <c r="D76" s="66">
        <v>824</v>
      </c>
      <c r="E76" s="66">
        <v>824</v>
      </c>
      <c r="F76" s="66">
        <v>824</v>
      </c>
    </row>
    <row r="77" spans="1:12" x14ac:dyDescent="0.25">
      <c r="A77" s="3" t="s">
        <v>285</v>
      </c>
      <c r="B77" s="51" t="s">
        <v>215</v>
      </c>
      <c r="C77" s="66">
        <v>1250</v>
      </c>
      <c r="D77" s="66">
        <v>2500</v>
      </c>
      <c r="E77" s="66">
        <v>2500</v>
      </c>
      <c r="F77" s="66">
        <v>2500</v>
      </c>
    </row>
    <row r="78" spans="1:12" x14ac:dyDescent="0.25">
      <c r="A78" s="3" t="s">
        <v>286</v>
      </c>
      <c r="B78" s="51" t="s">
        <v>215</v>
      </c>
      <c r="C78" s="66">
        <v>2067</v>
      </c>
      <c r="D78" s="66">
        <v>2067</v>
      </c>
      <c r="E78" s="66">
        <v>2067</v>
      </c>
      <c r="F78" s="66">
        <v>2067</v>
      </c>
    </row>
    <row r="79" spans="1:12" x14ac:dyDescent="0.25">
      <c r="A79" s="3" t="s">
        <v>287</v>
      </c>
      <c r="B79" s="51" t="s">
        <v>215</v>
      </c>
      <c r="C79" s="66">
        <v>4577</v>
      </c>
      <c r="D79" s="66">
        <v>6039</v>
      </c>
      <c r="E79" s="66">
        <v>6031</v>
      </c>
      <c r="F79" s="66">
        <v>6031</v>
      </c>
    </row>
    <row r="80" spans="1:12" x14ac:dyDescent="0.25">
      <c r="A80" s="3" t="s">
        <v>288</v>
      </c>
      <c r="B80" s="51" t="s">
        <v>215</v>
      </c>
      <c r="C80" s="66">
        <v>0</v>
      </c>
      <c r="D80" s="66">
        <v>270</v>
      </c>
      <c r="E80" s="66">
        <v>270</v>
      </c>
      <c r="F80" s="66">
        <v>270</v>
      </c>
    </row>
    <row r="81" spans="1:6" x14ac:dyDescent="0.25">
      <c r="A81" s="3" t="s">
        <v>289</v>
      </c>
      <c r="B81" s="51" t="s">
        <v>215</v>
      </c>
      <c r="C81" s="66">
        <v>10000</v>
      </c>
      <c r="D81" s="66">
        <v>10000</v>
      </c>
      <c r="E81" s="66">
        <v>10000</v>
      </c>
      <c r="F81" s="66">
        <v>10000</v>
      </c>
    </row>
    <row r="82" spans="1:6" x14ac:dyDescent="0.25">
      <c r="A82" s="3" t="s">
        <v>290</v>
      </c>
      <c r="B82" s="51" t="s">
        <v>215</v>
      </c>
      <c r="C82" s="66">
        <v>-1000</v>
      </c>
      <c r="D82" s="66">
        <v>-1000</v>
      </c>
      <c r="E82" s="66">
        <v>-1000</v>
      </c>
      <c r="F82" s="66">
        <v>-1000</v>
      </c>
    </row>
    <row r="83" spans="1:6" x14ac:dyDescent="0.25">
      <c r="A83" s="3" t="s">
        <v>291</v>
      </c>
      <c r="B83" s="51" t="s">
        <v>215</v>
      </c>
      <c r="C83" s="66">
        <v>12000</v>
      </c>
      <c r="D83" s="66">
        <v>12000</v>
      </c>
      <c r="E83" s="66">
        <v>12000</v>
      </c>
      <c r="F83" s="66">
        <v>12000</v>
      </c>
    </row>
    <row r="84" spans="1:6" x14ac:dyDescent="0.25">
      <c r="A84" s="3" t="s">
        <v>287</v>
      </c>
      <c r="B84" s="51" t="s">
        <v>215</v>
      </c>
      <c r="C84" s="66">
        <v>1121</v>
      </c>
      <c r="D84" s="66">
        <v>1121</v>
      </c>
      <c r="E84" s="66">
        <v>1121</v>
      </c>
      <c r="F84" s="66">
        <v>1121</v>
      </c>
    </row>
    <row r="85" spans="1:6" x14ac:dyDescent="0.25">
      <c r="A85" s="3" t="s">
        <v>292</v>
      </c>
      <c r="B85" s="51" t="s">
        <v>215</v>
      </c>
      <c r="C85" s="66">
        <v>1500</v>
      </c>
      <c r="D85" s="66">
        <v>1500</v>
      </c>
      <c r="E85" s="66">
        <v>1500</v>
      </c>
      <c r="F85" s="66">
        <v>1500</v>
      </c>
    </row>
    <row r="86" spans="1:6" x14ac:dyDescent="0.25">
      <c r="A86" s="3" t="s">
        <v>293</v>
      </c>
      <c r="B86" s="51" t="s">
        <v>215</v>
      </c>
      <c r="C86" s="66">
        <v>75</v>
      </c>
      <c r="D86" s="66">
        <v>150</v>
      </c>
      <c r="E86" s="66">
        <v>150</v>
      </c>
      <c r="F86" s="66">
        <v>150</v>
      </c>
    </row>
    <row r="87" spans="1:6" x14ac:dyDescent="0.25">
      <c r="A87" s="3" t="s">
        <v>294</v>
      </c>
      <c r="B87" s="51" t="s">
        <v>215</v>
      </c>
      <c r="C87" s="66">
        <v>4000</v>
      </c>
      <c r="D87" s="66">
        <v>4000</v>
      </c>
      <c r="E87" s="66">
        <v>4000</v>
      </c>
      <c r="F87" s="66">
        <v>4000</v>
      </c>
    </row>
    <row r="88" spans="1:6" x14ac:dyDescent="0.25">
      <c r="A88" s="3" t="s">
        <v>295</v>
      </c>
      <c r="B88" s="51" t="s">
        <v>215</v>
      </c>
      <c r="C88" s="66">
        <v>457</v>
      </c>
      <c r="D88" s="66">
        <v>4911</v>
      </c>
      <c r="E88" s="66">
        <v>4911</v>
      </c>
      <c r="F88" s="66">
        <v>4911</v>
      </c>
    </row>
    <row r="89" spans="1:6" x14ac:dyDescent="0.25">
      <c r="A89" s="3" t="s">
        <v>274</v>
      </c>
      <c r="B89" s="51" t="s">
        <v>215</v>
      </c>
      <c r="C89" s="66">
        <v>-250</v>
      </c>
      <c r="D89" s="66">
        <v>-250</v>
      </c>
      <c r="E89" s="66">
        <v>-250</v>
      </c>
      <c r="F89" s="66">
        <v>-250</v>
      </c>
    </row>
    <row r="90" spans="1:6" x14ac:dyDescent="0.25">
      <c r="A90" s="3" t="s">
        <v>190</v>
      </c>
      <c r="B90" s="51" t="s">
        <v>215</v>
      </c>
      <c r="C90" s="66">
        <v>-2500</v>
      </c>
      <c r="D90" s="66">
        <v>-9250</v>
      </c>
      <c r="E90" s="66">
        <v>-14250</v>
      </c>
      <c r="F90" s="66">
        <v>-14250</v>
      </c>
    </row>
    <row r="91" spans="1:6" x14ac:dyDescent="0.25">
      <c r="A91" s="3" t="s">
        <v>296</v>
      </c>
      <c r="B91" s="51" t="s">
        <v>277</v>
      </c>
      <c r="C91" s="66">
        <v>1500</v>
      </c>
      <c r="D91" s="66">
        <v>1500</v>
      </c>
      <c r="E91" s="66">
        <v>1500</v>
      </c>
      <c r="F91" s="66">
        <v>1500</v>
      </c>
    </row>
    <row r="92" spans="1:6" x14ac:dyDescent="0.25">
      <c r="A92" s="3" t="s">
        <v>297</v>
      </c>
      <c r="B92" s="51" t="s">
        <v>277</v>
      </c>
      <c r="C92" s="66">
        <v>-3000</v>
      </c>
      <c r="D92" s="66">
        <v>-3000</v>
      </c>
      <c r="E92" s="66">
        <v>-3000</v>
      </c>
      <c r="F92" s="66">
        <v>-3000</v>
      </c>
    </row>
    <row r="93" spans="1:6" x14ac:dyDescent="0.25">
      <c r="A93" s="3" t="s">
        <v>298</v>
      </c>
      <c r="B93" s="51" t="s">
        <v>277</v>
      </c>
      <c r="C93" s="66">
        <v>2000</v>
      </c>
      <c r="D93" s="66">
        <v>2000</v>
      </c>
      <c r="E93" s="66">
        <v>2000</v>
      </c>
      <c r="F93" s="66">
        <v>2000</v>
      </c>
    </row>
    <row r="94" spans="1:6" x14ac:dyDescent="0.25">
      <c r="A94" s="61" t="s">
        <v>299</v>
      </c>
      <c r="B94" s="57"/>
      <c r="C94" s="62">
        <f>SUM(C76:C93)</f>
        <v>34351</v>
      </c>
      <c r="D94" s="62">
        <f t="shared" ref="D94:F94" si="3">SUM(D76:D93)</f>
        <v>35382</v>
      </c>
      <c r="E94" s="62">
        <f t="shared" si="3"/>
        <v>30374</v>
      </c>
      <c r="F94" s="62">
        <f t="shared" si="3"/>
        <v>30374</v>
      </c>
    </row>
    <row r="95" spans="1:6" x14ac:dyDescent="0.25">
      <c r="B95" s="51"/>
    </row>
    <row r="96" spans="1:6" x14ac:dyDescent="0.25">
      <c r="A96" s="27" t="s">
        <v>15</v>
      </c>
      <c r="B96" s="65" t="s">
        <v>311</v>
      </c>
      <c r="C96" s="27">
        <v>2020</v>
      </c>
      <c r="D96" s="27">
        <v>2021</v>
      </c>
      <c r="E96" s="27">
        <v>2023</v>
      </c>
      <c r="F96" s="27">
        <v>2024</v>
      </c>
    </row>
    <row r="97" spans="1:6" x14ac:dyDescent="0.25">
      <c r="A97" s="3" t="s">
        <v>300</v>
      </c>
      <c r="B97" s="51" t="s">
        <v>215</v>
      </c>
      <c r="C97" s="52">
        <v>15550</v>
      </c>
      <c r="D97" s="52">
        <v>19374</v>
      </c>
      <c r="E97" s="52">
        <v>19374</v>
      </c>
      <c r="F97" s="52">
        <v>19374</v>
      </c>
    </row>
    <row r="98" spans="1:6" x14ac:dyDescent="0.25">
      <c r="A98" s="3" t="s">
        <v>300</v>
      </c>
      <c r="B98" s="51" t="s">
        <v>215</v>
      </c>
      <c r="C98" s="52">
        <f>-6719+119</f>
        <v>-6600</v>
      </c>
      <c r="D98" s="52">
        <f>-3223+118</f>
        <v>-3105</v>
      </c>
      <c r="E98" s="52">
        <f>-825+116</f>
        <v>-709</v>
      </c>
      <c r="F98" s="52">
        <f>-825+118</f>
        <v>-707</v>
      </c>
    </row>
    <row r="99" spans="1:6" x14ac:dyDescent="0.25">
      <c r="A99" s="3" t="s">
        <v>301</v>
      </c>
      <c r="B99" s="51" t="s">
        <v>215</v>
      </c>
      <c r="C99" s="52">
        <v>-2000</v>
      </c>
      <c r="D99" s="52">
        <v>-2000</v>
      </c>
      <c r="E99" s="52">
        <v>-2000</v>
      </c>
      <c r="F99" s="52">
        <v>-2000</v>
      </c>
    </row>
    <row r="100" spans="1:6" x14ac:dyDescent="0.25">
      <c r="A100" s="3" t="s">
        <v>302</v>
      </c>
      <c r="B100" s="51" t="s">
        <v>215</v>
      </c>
      <c r="C100" s="52">
        <v>-500</v>
      </c>
      <c r="D100" s="52">
        <v>-750</v>
      </c>
      <c r="E100" s="52">
        <v>-1000</v>
      </c>
      <c r="F100" s="52">
        <v>-1000</v>
      </c>
    </row>
    <row r="101" spans="1:6" x14ac:dyDescent="0.25">
      <c r="A101" s="3" t="s">
        <v>303</v>
      </c>
      <c r="B101" s="51" t="s">
        <v>215</v>
      </c>
      <c r="C101" s="52">
        <v>-500</v>
      </c>
      <c r="D101" s="52">
        <v>-1000</v>
      </c>
      <c r="E101" s="52">
        <v>-1500</v>
      </c>
      <c r="F101" s="52">
        <v>-1500</v>
      </c>
    </row>
    <row r="102" spans="1:6" x14ac:dyDescent="0.25">
      <c r="A102" s="63" t="s">
        <v>304</v>
      </c>
      <c r="B102" s="53"/>
      <c r="C102" s="62">
        <f>SUM(C97:C101)</f>
        <v>5950</v>
      </c>
      <c r="D102" s="62">
        <f t="shared" ref="D102:F102" si="4">SUM(D97:D101)</f>
        <v>12519</v>
      </c>
      <c r="E102" s="62">
        <f t="shared" si="4"/>
        <v>14165</v>
      </c>
      <c r="F102" s="62">
        <f t="shared" si="4"/>
        <v>14167</v>
      </c>
    </row>
    <row r="103" spans="1:6" x14ac:dyDescent="0.25">
      <c r="B103" s="51"/>
      <c r="C103" s="52"/>
      <c r="D103" s="52"/>
      <c r="E103" s="52"/>
      <c r="F103" s="52"/>
    </row>
    <row r="104" spans="1:6" x14ac:dyDescent="0.25">
      <c r="A104" s="27" t="s">
        <v>16</v>
      </c>
      <c r="B104" s="65" t="s">
        <v>311</v>
      </c>
      <c r="C104" s="27">
        <v>2020</v>
      </c>
      <c r="D104" s="27">
        <v>2021</v>
      </c>
      <c r="E104" s="27">
        <v>2023</v>
      </c>
      <c r="F104" s="27">
        <v>2024</v>
      </c>
    </row>
    <row r="105" spans="1:6" x14ac:dyDescent="0.25">
      <c r="A105" s="3" t="s">
        <v>305</v>
      </c>
      <c r="B105" s="51" t="s">
        <v>215</v>
      </c>
      <c r="C105" s="66">
        <v>-262</v>
      </c>
      <c r="D105" s="66">
        <v>-262</v>
      </c>
      <c r="E105" s="66">
        <v>-262</v>
      </c>
      <c r="F105" s="66">
        <v>-262</v>
      </c>
    </row>
    <row r="106" spans="1:6" x14ac:dyDescent="0.25">
      <c r="A106" s="3" t="s">
        <v>306</v>
      </c>
      <c r="B106" s="51" t="s">
        <v>215</v>
      </c>
      <c r="C106" s="66">
        <v>-425</v>
      </c>
      <c r="D106" s="66">
        <v>-425</v>
      </c>
      <c r="E106" s="66">
        <v>-425</v>
      </c>
      <c r="F106" s="66">
        <v>-425</v>
      </c>
    </row>
    <row r="107" spans="1:6" x14ac:dyDescent="0.25">
      <c r="A107" s="3" t="s">
        <v>190</v>
      </c>
      <c r="B107" s="51" t="s">
        <v>215</v>
      </c>
      <c r="C107" s="66">
        <v>0</v>
      </c>
      <c r="D107" s="66">
        <v>-1400</v>
      </c>
      <c r="E107" s="66">
        <v>-2900</v>
      </c>
      <c r="F107" s="66">
        <v>-2900</v>
      </c>
    </row>
    <row r="108" spans="1:6" x14ac:dyDescent="0.25">
      <c r="A108" s="3" t="s">
        <v>307</v>
      </c>
      <c r="B108" s="51" t="s">
        <v>215</v>
      </c>
      <c r="C108" s="66">
        <v>1150</v>
      </c>
      <c r="D108" s="66">
        <v>1150</v>
      </c>
      <c r="E108" s="66">
        <v>1150</v>
      </c>
      <c r="F108" s="66">
        <v>1150</v>
      </c>
    </row>
    <row r="109" spans="1:6" x14ac:dyDescent="0.25">
      <c r="A109" s="3" t="s">
        <v>308</v>
      </c>
      <c r="B109" s="51" t="s">
        <v>277</v>
      </c>
      <c r="C109" s="66">
        <v>850</v>
      </c>
      <c r="D109" s="66">
        <v>850</v>
      </c>
      <c r="E109" s="66">
        <v>850</v>
      </c>
      <c r="F109" s="66">
        <v>850</v>
      </c>
    </row>
    <row r="110" spans="1:6" x14ac:dyDescent="0.25">
      <c r="A110" s="3" t="s">
        <v>309</v>
      </c>
      <c r="B110" s="51" t="s">
        <v>277</v>
      </c>
      <c r="C110" s="66">
        <v>35</v>
      </c>
      <c r="D110" s="66">
        <v>35</v>
      </c>
      <c r="E110" s="66">
        <v>35</v>
      </c>
      <c r="F110" s="66">
        <v>35</v>
      </c>
    </row>
    <row r="111" spans="1:6" x14ac:dyDescent="0.25">
      <c r="A111" s="63" t="s">
        <v>310</v>
      </c>
      <c r="B111" s="63"/>
      <c r="C111" s="62">
        <f>SUM(C105:C110)</f>
        <v>1348</v>
      </c>
      <c r="D111" s="62">
        <f t="shared" ref="D111:F111" si="5">SUM(D105:D110)</f>
        <v>-52</v>
      </c>
      <c r="E111" s="62">
        <f t="shared" si="5"/>
        <v>-1552</v>
      </c>
      <c r="F111" s="62">
        <f t="shared" si="5"/>
        <v>-1552</v>
      </c>
    </row>
  </sheetData>
  <pageMargins left="0.7" right="0.7" top="0.75" bottom="0.75" header="0.3" footer="0.3"/>
  <pageSetup paperSize="9" scale="71" fitToHeight="0" orientation="portrait" r:id="rId1"/>
  <ignoredErrors>
    <ignoredError sqref="C22:F22 C94:F94 C111:F111 C73:F7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8"/>
  <sheetViews>
    <sheetView tabSelected="1" workbookViewId="0">
      <selection activeCell="I25" sqref="I25"/>
    </sheetView>
  </sheetViews>
  <sheetFormatPr baseColWidth="10" defaultColWidth="11.42578125" defaultRowHeight="15" x14ac:dyDescent="0.25"/>
  <cols>
    <col min="1" max="1" width="3.7109375" customWidth="1"/>
    <col min="2" max="2" width="59" customWidth="1"/>
    <col min="3" max="6" width="12.85546875" bestFit="1" customWidth="1"/>
  </cols>
  <sheetData>
    <row r="1" spans="1:6" ht="21" x14ac:dyDescent="0.35">
      <c r="A1" s="48" t="s">
        <v>219</v>
      </c>
    </row>
    <row r="3" spans="1:6" x14ac:dyDescent="0.25">
      <c r="A3" s="14"/>
      <c r="B3" s="14" t="s">
        <v>0</v>
      </c>
      <c r="C3" s="14"/>
      <c r="D3" s="14"/>
      <c r="E3" s="14"/>
      <c r="F3" s="14"/>
    </row>
    <row r="4" spans="1:6" x14ac:dyDescent="0.25">
      <c r="A4" s="14"/>
      <c r="B4" s="30" t="s">
        <v>95</v>
      </c>
      <c r="C4" s="27" t="s">
        <v>3</v>
      </c>
      <c r="D4" s="27" t="s">
        <v>4</v>
      </c>
      <c r="E4" s="27" t="s">
        <v>5</v>
      </c>
      <c r="F4" s="27" t="s">
        <v>6</v>
      </c>
    </row>
    <row r="5" spans="1:6" x14ac:dyDescent="0.25">
      <c r="A5" s="14">
        <v>1</v>
      </c>
      <c r="B5" s="19" t="s">
        <v>96</v>
      </c>
      <c r="C5" s="18">
        <v>1500</v>
      </c>
      <c r="D5" s="18">
        <v>1500</v>
      </c>
      <c r="E5" s="18">
        <v>1500</v>
      </c>
      <c r="F5" s="18">
        <v>1500</v>
      </c>
    </row>
    <row r="6" spans="1:6" s="14" customFormat="1" x14ac:dyDescent="0.25">
      <c r="A6" s="14">
        <v>2</v>
      </c>
      <c r="B6" s="3" t="s">
        <v>26</v>
      </c>
      <c r="C6" s="18">
        <v>750</v>
      </c>
      <c r="D6" s="18">
        <v>750</v>
      </c>
      <c r="E6" s="18">
        <v>750</v>
      </c>
      <c r="F6" s="18">
        <v>750</v>
      </c>
    </row>
    <row r="7" spans="1:6" x14ac:dyDescent="0.25">
      <c r="A7" s="14"/>
      <c r="B7" s="32" t="s">
        <v>97</v>
      </c>
      <c r="C7" s="16">
        <f>SUM(C5:C6)</f>
        <v>2250</v>
      </c>
      <c r="D7" s="16">
        <f>SUM(D5:D6)</f>
        <v>2250</v>
      </c>
      <c r="E7" s="16">
        <f>SUM(E5:E6)</f>
        <v>2250</v>
      </c>
      <c r="F7" s="16">
        <f>SUM(F5:F6)</f>
        <v>2250</v>
      </c>
    </row>
    <row r="8" spans="1:6" x14ac:dyDescent="0.25">
      <c r="A8" s="14"/>
      <c r="B8" s="32" t="s">
        <v>98</v>
      </c>
      <c r="C8" s="16">
        <v>0</v>
      </c>
      <c r="D8" s="16">
        <v>0</v>
      </c>
      <c r="E8" s="16">
        <v>0</v>
      </c>
      <c r="F8" s="16">
        <v>0</v>
      </c>
    </row>
    <row r="9" spans="1:6" ht="15.75" thickBot="1" x14ac:dyDescent="0.3">
      <c r="A9" s="14"/>
      <c r="B9" s="33" t="s">
        <v>93</v>
      </c>
      <c r="C9" s="34">
        <f>C8+C7</f>
        <v>2250</v>
      </c>
      <c r="D9" s="34">
        <f>D8+D7</f>
        <v>2250</v>
      </c>
      <c r="E9" s="34">
        <f>E8+E7</f>
        <v>2250</v>
      </c>
      <c r="F9" s="34">
        <f>F8+F7</f>
        <v>2250</v>
      </c>
    </row>
    <row r="10" spans="1:6" ht="15.75" thickTop="1" x14ac:dyDescent="0.25">
      <c r="A10" s="14"/>
      <c r="B10" s="12" t="s">
        <v>29</v>
      </c>
      <c r="C10" s="14"/>
      <c r="D10" s="14"/>
      <c r="E10" s="14"/>
      <c r="F10" s="14"/>
    </row>
    <row r="11" spans="1:6" s="14" customFormat="1" x14ac:dyDescent="0.25">
      <c r="B11" s="12"/>
    </row>
    <row r="12" spans="1:6" x14ac:dyDescent="0.25">
      <c r="A12" s="14"/>
      <c r="B12" s="14" t="s">
        <v>11</v>
      </c>
      <c r="C12" s="14"/>
      <c r="D12" s="14"/>
      <c r="E12" s="14"/>
      <c r="F12" s="14"/>
    </row>
    <row r="13" spans="1:6" x14ac:dyDescent="0.25">
      <c r="A13" s="14"/>
      <c r="B13" s="30" t="s">
        <v>95</v>
      </c>
      <c r="C13" s="27" t="s">
        <v>3</v>
      </c>
      <c r="D13" s="27" t="s">
        <v>4</v>
      </c>
      <c r="E13" s="27" t="s">
        <v>5</v>
      </c>
      <c r="F13" s="27" t="s">
        <v>6</v>
      </c>
    </row>
    <row r="14" spans="1:6" x14ac:dyDescent="0.25">
      <c r="A14" s="14"/>
      <c r="B14" s="1" t="s">
        <v>97</v>
      </c>
      <c r="C14" s="16">
        <v>0</v>
      </c>
      <c r="D14" s="16">
        <v>0</v>
      </c>
      <c r="E14" s="16">
        <v>0</v>
      </c>
      <c r="F14" s="16">
        <v>0</v>
      </c>
    </row>
    <row r="15" spans="1:6" x14ac:dyDescent="0.25">
      <c r="A15" s="14">
        <v>1</v>
      </c>
      <c r="B15" s="13" t="s">
        <v>99</v>
      </c>
      <c r="C15" s="17">
        <v>-5000</v>
      </c>
      <c r="D15" s="17">
        <v>-9000</v>
      </c>
      <c r="E15" s="17">
        <v>-9000</v>
      </c>
      <c r="F15" s="17">
        <v>-9000</v>
      </c>
    </row>
    <row r="16" spans="1:6" s="14" customFormat="1" x14ac:dyDescent="0.25">
      <c r="A16" s="14">
        <v>2</v>
      </c>
      <c r="B16" s="13" t="s">
        <v>100</v>
      </c>
      <c r="C16" s="17">
        <v>-2430</v>
      </c>
      <c r="D16" s="17">
        <v>-3470</v>
      </c>
      <c r="E16" s="17">
        <v>-8130</v>
      </c>
      <c r="F16" s="17">
        <v>-11400</v>
      </c>
    </row>
    <row r="17" spans="1:6" x14ac:dyDescent="0.25">
      <c r="A17" s="14"/>
      <c r="B17" s="1" t="s">
        <v>98</v>
      </c>
      <c r="C17" s="16">
        <f>SUM(C15:C16)</f>
        <v>-7430</v>
      </c>
      <c r="D17" s="16">
        <f t="shared" ref="D17:F17" si="0">SUM(D15:D16)</f>
        <v>-12470</v>
      </c>
      <c r="E17" s="16">
        <f t="shared" si="0"/>
        <v>-17130</v>
      </c>
      <c r="F17" s="16">
        <f t="shared" si="0"/>
        <v>-20400</v>
      </c>
    </row>
    <row r="18" spans="1:6" ht="15.75" thickBot="1" x14ac:dyDescent="0.3">
      <c r="A18" s="14"/>
      <c r="B18" s="10" t="s">
        <v>93</v>
      </c>
      <c r="C18" s="34">
        <f>C17+C14</f>
        <v>-7430</v>
      </c>
      <c r="D18" s="34">
        <f t="shared" ref="D18:F18" si="1">D17+D14</f>
        <v>-12470</v>
      </c>
      <c r="E18" s="34">
        <f t="shared" si="1"/>
        <v>-17130</v>
      </c>
      <c r="F18" s="34">
        <f t="shared" si="1"/>
        <v>-20400</v>
      </c>
    </row>
    <row r="19" spans="1:6" ht="15.75" thickTop="1" x14ac:dyDescent="0.25">
      <c r="A19" s="14"/>
      <c r="B19" s="12" t="s">
        <v>29</v>
      </c>
      <c r="C19" s="18"/>
      <c r="D19" s="18"/>
      <c r="E19" s="18"/>
      <c r="F19" s="18"/>
    </row>
    <row r="20" spans="1:6" s="14" customFormat="1" x14ac:dyDescent="0.25">
      <c r="B20" s="12"/>
      <c r="C20" s="18"/>
      <c r="D20" s="18"/>
      <c r="E20" s="18"/>
      <c r="F20" s="18"/>
    </row>
    <row r="21" spans="1:6" x14ac:dyDescent="0.25">
      <c r="A21" s="14"/>
      <c r="B21" s="14" t="s">
        <v>12</v>
      </c>
      <c r="C21" s="14"/>
      <c r="D21" s="14"/>
      <c r="E21" s="14"/>
      <c r="F21" s="14"/>
    </row>
    <row r="22" spans="1:6" x14ac:dyDescent="0.25">
      <c r="A22" s="14"/>
      <c r="B22" s="30" t="s">
        <v>95</v>
      </c>
      <c r="C22" s="27" t="s">
        <v>3</v>
      </c>
      <c r="D22" s="27" t="s">
        <v>4</v>
      </c>
      <c r="E22" s="27" t="s">
        <v>5</v>
      </c>
      <c r="F22" s="27" t="s">
        <v>6</v>
      </c>
    </row>
    <row r="23" spans="1:6" x14ac:dyDescent="0.25">
      <c r="A23" s="14">
        <v>1</v>
      </c>
      <c r="B23" s="14" t="s">
        <v>101</v>
      </c>
      <c r="C23" s="18">
        <v>80</v>
      </c>
      <c r="D23" s="18">
        <v>80</v>
      </c>
      <c r="E23" s="18">
        <v>80</v>
      </c>
      <c r="F23" s="18">
        <v>80</v>
      </c>
    </row>
    <row r="24" spans="1:6" x14ac:dyDescent="0.25">
      <c r="A24" s="14"/>
      <c r="B24" s="1" t="s">
        <v>97</v>
      </c>
      <c r="C24" s="16">
        <f>SUM(C23:C23)</f>
        <v>80</v>
      </c>
      <c r="D24" s="16">
        <f>SUM(D23:D23)</f>
        <v>80</v>
      </c>
      <c r="E24" s="16">
        <f>SUM(E23:E23)</f>
        <v>80</v>
      </c>
      <c r="F24" s="16">
        <f>SUM(F23:F23)</f>
        <v>80</v>
      </c>
    </row>
    <row r="25" spans="1:6" x14ac:dyDescent="0.25">
      <c r="A25" s="14"/>
      <c r="B25" s="1" t="s">
        <v>98</v>
      </c>
      <c r="C25" s="16">
        <v>0</v>
      </c>
      <c r="D25" s="16">
        <v>0</v>
      </c>
      <c r="E25" s="16">
        <v>0</v>
      </c>
      <c r="F25" s="16">
        <v>0</v>
      </c>
    </row>
    <row r="26" spans="1:6" ht="15.75" thickBot="1" x14ac:dyDescent="0.3">
      <c r="A26" s="14"/>
      <c r="B26" s="10" t="s">
        <v>93</v>
      </c>
      <c r="C26" s="34">
        <f>C24+C25</f>
        <v>80</v>
      </c>
      <c r="D26" s="34">
        <f t="shared" ref="D26:F26" si="2">D24+D25</f>
        <v>80</v>
      </c>
      <c r="E26" s="34">
        <f t="shared" si="2"/>
        <v>80</v>
      </c>
      <c r="F26" s="34">
        <f t="shared" si="2"/>
        <v>80</v>
      </c>
    </row>
    <row r="27" spans="1:6" ht="15.75" thickTop="1" x14ac:dyDescent="0.25">
      <c r="A27" s="14"/>
      <c r="B27" s="14"/>
      <c r="C27" s="18"/>
      <c r="D27" s="18"/>
      <c r="E27" s="18"/>
      <c r="F27" s="18"/>
    </row>
    <row r="28" spans="1:6" x14ac:dyDescent="0.25">
      <c r="A28" s="14"/>
      <c r="B28" s="14" t="s">
        <v>13</v>
      </c>
      <c r="C28" s="14"/>
      <c r="D28" s="14"/>
      <c r="E28" s="14"/>
      <c r="F28" s="14"/>
    </row>
    <row r="29" spans="1:6" x14ac:dyDescent="0.25">
      <c r="A29" s="14"/>
      <c r="B29" s="30" t="s">
        <v>95</v>
      </c>
      <c r="C29" s="27" t="s">
        <v>3</v>
      </c>
      <c r="D29" s="27" t="s">
        <v>4</v>
      </c>
      <c r="E29" s="27" t="s">
        <v>5</v>
      </c>
      <c r="F29" s="27" t="s">
        <v>6</v>
      </c>
    </row>
    <row r="30" spans="1:6" s="14" customFormat="1" x14ac:dyDescent="0.25">
      <c r="A30" s="14">
        <v>1</v>
      </c>
      <c r="B30" s="13" t="s">
        <v>102</v>
      </c>
      <c r="C30" s="18">
        <v>11500</v>
      </c>
      <c r="D30" s="18">
        <v>11500</v>
      </c>
      <c r="E30" s="18">
        <v>11500</v>
      </c>
      <c r="F30" s="18">
        <v>11500</v>
      </c>
    </row>
    <row r="31" spans="1:6" s="14" customFormat="1" x14ac:dyDescent="0.25">
      <c r="A31" s="14">
        <v>2</v>
      </c>
      <c r="B31" s="13" t="s">
        <v>103</v>
      </c>
      <c r="C31" s="18">
        <v>562</v>
      </c>
      <c r="D31" s="18">
        <v>562</v>
      </c>
      <c r="E31" s="18">
        <v>562</v>
      </c>
      <c r="F31" s="18">
        <v>562</v>
      </c>
    </row>
    <row r="32" spans="1:6" s="14" customFormat="1" x14ac:dyDescent="0.25">
      <c r="A32" s="14">
        <v>3</v>
      </c>
      <c r="B32" s="13" t="s">
        <v>104</v>
      </c>
      <c r="C32" s="18">
        <v>500</v>
      </c>
      <c r="D32" s="18">
        <v>1400</v>
      </c>
      <c r="E32" s="18"/>
      <c r="F32" s="18"/>
    </row>
    <row r="33" spans="1:6" s="14" customFormat="1" x14ac:dyDescent="0.25">
      <c r="A33" s="14">
        <v>4</v>
      </c>
      <c r="B33" s="13" t="s">
        <v>105</v>
      </c>
      <c r="C33" s="18">
        <v>500</v>
      </c>
      <c r="D33" s="18">
        <v>500</v>
      </c>
      <c r="E33" s="18">
        <v>500</v>
      </c>
      <c r="F33" s="18">
        <v>500</v>
      </c>
    </row>
    <row r="34" spans="1:6" s="14" customFormat="1" x14ac:dyDescent="0.25">
      <c r="A34" s="14">
        <v>5</v>
      </c>
      <c r="B34" s="13" t="s">
        <v>106</v>
      </c>
      <c r="C34" s="18">
        <v>600</v>
      </c>
      <c r="D34" s="18">
        <v>600</v>
      </c>
      <c r="E34" s="18">
        <v>600</v>
      </c>
      <c r="F34" s="18">
        <v>600</v>
      </c>
    </row>
    <row r="35" spans="1:6" s="14" customFormat="1" x14ac:dyDescent="0.25">
      <c r="A35" s="14">
        <v>6</v>
      </c>
      <c r="B35" s="13" t="s">
        <v>107</v>
      </c>
      <c r="C35" s="18">
        <v>2000</v>
      </c>
      <c r="D35" s="18">
        <v>2000</v>
      </c>
      <c r="E35" s="18">
        <v>2000</v>
      </c>
      <c r="F35" s="18">
        <v>2000</v>
      </c>
    </row>
    <row r="36" spans="1:6" s="14" customFormat="1" x14ac:dyDescent="0.25">
      <c r="A36" s="14">
        <v>7</v>
      </c>
      <c r="B36" s="13" t="s">
        <v>105</v>
      </c>
      <c r="C36" s="18">
        <v>1000</v>
      </c>
      <c r="D36" s="18">
        <v>1000</v>
      </c>
      <c r="E36" s="18">
        <v>1000</v>
      </c>
      <c r="F36" s="18">
        <v>1000</v>
      </c>
    </row>
    <row r="37" spans="1:6" s="14" customFormat="1" x14ac:dyDescent="0.25">
      <c r="A37" s="14">
        <v>8</v>
      </c>
      <c r="B37" s="13" t="s">
        <v>108</v>
      </c>
      <c r="C37" s="18">
        <v>1460</v>
      </c>
      <c r="D37" s="18">
        <v>1460</v>
      </c>
      <c r="E37" s="18">
        <v>1460</v>
      </c>
      <c r="F37" s="18">
        <v>1460</v>
      </c>
    </row>
    <row r="38" spans="1:6" s="14" customFormat="1" x14ac:dyDescent="0.25">
      <c r="A38" s="14">
        <v>9</v>
      </c>
      <c r="B38" s="13" t="s">
        <v>109</v>
      </c>
      <c r="C38" s="18">
        <v>5000</v>
      </c>
      <c r="D38" s="18">
        <v>5000</v>
      </c>
      <c r="E38" s="18">
        <v>5000</v>
      </c>
      <c r="F38" s="18">
        <v>5000</v>
      </c>
    </row>
    <row r="39" spans="1:6" s="14" customFormat="1" x14ac:dyDescent="0.25">
      <c r="A39" s="14">
        <v>10</v>
      </c>
      <c r="B39" s="13" t="s">
        <v>110</v>
      </c>
      <c r="C39" s="18">
        <v>2800</v>
      </c>
      <c r="D39" s="18">
        <v>2800</v>
      </c>
      <c r="E39" s="18">
        <v>2800</v>
      </c>
      <c r="F39" s="18">
        <v>2800</v>
      </c>
    </row>
    <row r="40" spans="1:6" s="14" customFormat="1" x14ac:dyDescent="0.25">
      <c r="A40" s="14">
        <v>11</v>
      </c>
      <c r="B40" s="13" t="s">
        <v>111</v>
      </c>
      <c r="C40" s="18">
        <v>700</v>
      </c>
      <c r="D40" s="18">
        <v>700</v>
      </c>
      <c r="E40" s="18">
        <v>700</v>
      </c>
      <c r="F40" s="18">
        <v>700</v>
      </c>
    </row>
    <row r="41" spans="1:6" s="14" customFormat="1" x14ac:dyDescent="0.25">
      <c r="A41" s="14">
        <v>12</v>
      </c>
      <c r="B41" s="13" t="s">
        <v>112</v>
      </c>
      <c r="C41" s="18">
        <v>200</v>
      </c>
      <c r="D41" s="18">
        <v>200</v>
      </c>
      <c r="E41" s="18">
        <v>200</v>
      </c>
      <c r="F41" s="18">
        <v>200</v>
      </c>
    </row>
    <row r="42" spans="1:6" x14ac:dyDescent="0.25">
      <c r="A42" s="14">
        <v>13</v>
      </c>
      <c r="B42" s="13" t="s">
        <v>113</v>
      </c>
      <c r="C42" s="18">
        <v>300</v>
      </c>
      <c r="D42" s="18">
        <v>300</v>
      </c>
      <c r="E42" s="18">
        <v>300</v>
      </c>
      <c r="F42" s="18">
        <v>300</v>
      </c>
    </row>
    <row r="43" spans="1:6" x14ac:dyDescent="0.25">
      <c r="A43" s="14">
        <v>14</v>
      </c>
      <c r="B43" s="13" t="s">
        <v>114</v>
      </c>
      <c r="C43" s="18">
        <v>0</v>
      </c>
      <c r="D43" s="18">
        <v>0</v>
      </c>
      <c r="E43" s="18">
        <v>0</v>
      </c>
      <c r="F43" s="18">
        <v>0</v>
      </c>
    </row>
    <row r="44" spans="1:6" x14ac:dyDescent="0.25">
      <c r="A44" s="14">
        <v>15</v>
      </c>
      <c r="B44" s="13" t="s">
        <v>105</v>
      </c>
      <c r="C44" s="18">
        <v>50</v>
      </c>
      <c r="D44" s="18">
        <v>50</v>
      </c>
      <c r="E44" s="18">
        <v>50</v>
      </c>
      <c r="F44" s="18">
        <v>50</v>
      </c>
    </row>
    <row r="45" spans="1:6" x14ac:dyDescent="0.25">
      <c r="A45" s="14">
        <v>16</v>
      </c>
      <c r="B45" s="13" t="s">
        <v>115</v>
      </c>
      <c r="C45" s="18">
        <v>400</v>
      </c>
      <c r="D45" s="18">
        <v>400</v>
      </c>
      <c r="E45" s="18">
        <v>400</v>
      </c>
      <c r="F45" s="18">
        <v>400</v>
      </c>
    </row>
    <row r="46" spans="1:6" x14ac:dyDescent="0.25">
      <c r="A46" s="14">
        <v>17</v>
      </c>
      <c r="B46" s="13" t="s">
        <v>116</v>
      </c>
      <c r="C46" s="18">
        <v>-2000</v>
      </c>
      <c r="D46" s="18">
        <v>-1000</v>
      </c>
      <c r="E46" s="18">
        <v>-1500</v>
      </c>
      <c r="F46" s="18">
        <v>12500</v>
      </c>
    </row>
    <row r="47" spans="1:6" x14ac:dyDescent="0.25">
      <c r="A47" s="14"/>
      <c r="B47" s="1" t="s">
        <v>97</v>
      </c>
      <c r="C47" s="16">
        <f>SUM(C30:C46)</f>
        <v>25572</v>
      </c>
      <c r="D47" s="16">
        <f>SUM(D30:D46)</f>
        <v>27472</v>
      </c>
      <c r="E47" s="16">
        <f t="shared" ref="E47:F47" si="3">SUM(E30:E46)</f>
        <v>25572</v>
      </c>
      <c r="F47" s="16">
        <f t="shared" si="3"/>
        <v>39572</v>
      </c>
    </row>
    <row r="48" spans="1:6" s="14" customFormat="1" x14ac:dyDescent="0.25">
      <c r="A48" s="14">
        <v>18</v>
      </c>
      <c r="B48" s="13" t="s">
        <v>117</v>
      </c>
      <c r="C48" s="6">
        <v>-750</v>
      </c>
      <c r="D48" s="6">
        <v>-1700</v>
      </c>
      <c r="E48" s="6">
        <v>-1700</v>
      </c>
      <c r="F48" s="6">
        <v>-1700</v>
      </c>
    </row>
    <row r="49" spans="1:6" s="14" customFormat="1" x14ac:dyDescent="0.25">
      <c r="A49" s="14">
        <v>19</v>
      </c>
      <c r="B49" s="13" t="s">
        <v>118</v>
      </c>
      <c r="C49" s="6">
        <v>-100</v>
      </c>
      <c r="D49" s="6">
        <v>-100</v>
      </c>
      <c r="E49" s="6">
        <v>-100</v>
      </c>
      <c r="F49" s="6">
        <v>-100</v>
      </c>
    </row>
    <row r="50" spans="1:6" s="14" customFormat="1" x14ac:dyDescent="0.25">
      <c r="A50" s="14">
        <v>20</v>
      </c>
      <c r="B50" s="13" t="s">
        <v>119</v>
      </c>
      <c r="C50" s="6">
        <v>-500</v>
      </c>
      <c r="D50" s="6">
        <v>-1500</v>
      </c>
      <c r="E50" s="6">
        <v>-1500</v>
      </c>
      <c r="F50" s="6">
        <v>-1500</v>
      </c>
    </row>
    <row r="51" spans="1:6" s="14" customFormat="1" x14ac:dyDescent="0.25">
      <c r="A51" s="14">
        <v>21</v>
      </c>
      <c r="B51" s="13" t="s">
        <v>120</v>
      </c>
      <c r="C51" s="6">
        <v>-600</v>
      </c>
      <c r="D51" s="6">
        <v>-600</v>
      </c>
      <c r="E51" s="6">
        <v>-600</v>
      </c>
      <c r="F51" s="6">
        <v>-600</v>
      </c>
    </row>
    <row r="52" spans="1:6" s="14" customFormat="1" x14ac:dyDescent="0.25">
      <c r="A52" s="14">
        <v>22</v>
      </c>
      <c r="B52" s="13" t="s">
        <v>121</v>
      </c>
      <c r="C52" s="6">
        <v>-100</v>
      </c>
      <c r="D52" s="6">
        <v>-100</v>
      </c>
      <c r="E52" s="6">
        <v>-100</v>
      </c>
      <c r="F52" s="6">
        <v>-100</v>
      </c>
    </row>
    <row r="53" spans="1:6" s="14" customFormat="1" x14ac:dyDescent="0.25">
      <c r="A53" s="14">
        <v>23</v>
      </c>
      <c r="B53" s="13" t="s">
        <v>122</v>
      </c>
      <c r="C53" s="6">
        <v>-250</v>
      </c>
      <c r="D53" s="6">
        <v>-250</v>
      </c>
      <c r="E53" s="6">
        <v>-250</v>
      </c>
      <c r="F53" s="6">
        <v>-250</v>
      </c>
    </row>
    <row r="54" spans="1:6" s="14" customFormat="1" x14ac:dyDescent="0.25">
      <c r="A54" s="14">
        <v>24</v>
      </c>
      <c r="B54" s="13" t="s">
        <v>123</v>
      </c>
      <c r="C54" s="6">
        <v>-1600</v>
      </c>
      <c r="D54" s="6">
        <v>-1600</v>
      </c>
      <c r="E54" s="6">
        <v>-1600</v>
      </c>
      <c r="F54" s="6">
        <v>-1600</v>
      </c>
    </row>
    <row r="55" spans="1:6" s="14" customFormat="1" x14ac:dyDescent="0.25">
      <c r="A55" s="14">
        <v>25</v>
      </c>
      <c r="B55" s="13" t="s">
        <v>124</v>
      </c>
      <c r="C55" s="6">
        <v>-1400</v>
      </c>
      <c r="D55" s="6">
        <v>-3400</v>
      </c>
      <c r="E55" s="6">
        <v>-3400</v>
      </c>
      <c r="F55" s="6">
        <v>-3400</v>
      </c>
    </row>
    <row r="56" spans="1:6" s="14" customFormat="1" x14ac:dyDescent="0.25">
      <c r="A56" s="14">
        <v>26</v>
      </c>
      <c r="B56" s="13" t="s">
        <v>125</v>
      </c>
      <c r="C56" s="6">
        <v>-2100</v>
      </c>
      <c r="D56" s="6">
        <v>-5000</v>
      </c>
      <c r="E56" s="6">
        <v>-5000</v>
      </c>
      <c r="F56" s="6">
        <v>-5000</v>
      </c>
    </row>
    <row r="57" spans="1:6" s="14" customFormat="1" x14ac:dyDescent="0.25">
      <c r="A57" s="14">
        <v>27</v>
      </c>
      <c r="B57" s="13" t="s">
        <v>126</v>
      </c>
      <c r="C57" s="6">
        <v>0</v>
      </c>
      <c r="D57" s="6">
        <v>-5000</v>
      </c>
      <c r="E57" s="6">
        <v>-5000</v>
      </c>
      <c r="F57" s="6">
        <v>-6000</v>
      </c>
    </row>
    <row r="58" spans="1:6" s="14" customFormat="1" x14ac:dyDescent="0.25">
      <c r="A58" s="14">
        <v>28</v>
      </c>
      <c r="B58" s="13" t="s">
        <v>127</v>
      </c>
      <c r="C58" s="6">
        <v>0</v>
      </c>
      <c r="D58" s="6">
        <v>-500</v>
      </c>
      <c r="E58" s="6">
        <v>-1000</v>
      </c>
      <c r="F58" s="6">
        <v>-1000</v>
      </c>
    </row>
    <row r="59" spans="1:6" s="14" customFormat="1" x14ac:dyDescent="0.25">
      <c r="A59" s="14">
        <v>29</v>
      </c>
      <c r="B59" s="13" t="s">
        <v>128</v>
      </c>
      <c r="C59" s="6">
        <v>-1300</v>
      </c>
      <c r="D59" s="6">
        <v>-1300</v>
      </c>
      <c r="E59" s="6">
        <v>-1300</v>
      </c>
      <c r="F59" s="6">
        <v>-1300</v>
      </c>
    </row>
    <row r="60" spans="1:6" s="14" customFormat="1" x14ac:dyDescent="0.25">
      <c r="A60" s="14">
        <v>30</v>
      </c>
      <c r="B60" s="13" t="s">
        <v>129</v>
      </c>
      <c r="C60" s="6">
        <v>-500</v>
      </c>
      <c r="D60" s="6">
        <v>-500</v>
      </c>
      <c r="E60" s="6">
        <v>-500</v>
      </c>
      <c r="F60" s="6">
        <v>-500</v>
      </c>
    </row>
    <row r="61" spans="1:6" s="14" customFormat="1" x14ac:dyDescent="0.25">
      <c r="A61" s="14">
        <v>31</v>
      </c>
      <c r="B61" s="13" t="s">
        <v>130</v>
      </c>
      <c r="C61" s="6">
        <v>-600</v>
      </c>
      <c r="D61" s="6">
        <v>-1500</v>
      </c>
      <c r="E61" s="6">
        <v>-2350</v>
      </c>
      <c r="F61" s="6">
        <v>-2350</v>
      </c>
    </row>
    <row r="62" spans="1:6" s="14" customFormat="1" x14ac:dyDescent="0.25">
      <c r="A62" s="14">
        <v>32</v>
      </c>
      <c r="B62" s="13" t="s">
        <v>131</v>
      </c>
      <c r="C62" s="6">
        <v>-600</v>
      </c>
      <c r="D62" s="6">
        <v>-600</v>
      </c>
      <c r="E62" s="6">
        <v>-600</v>
      </c>
      <c r="F62" s="6">
        <v>-600</v>
      </c>
    </row>
    <row r="63" spans="1:6" s="14" customFormat="1" x14ac:dyDescent="0.25">
      <c r="A63" s="14">
        <v>33</v>
      </c>
      <c r="B63" s="13" t="s">
        <v>132</v>
      </c>
      <c r="C63" s="6">
        <v>-300</v>
      </c>
      <c r="D63" s="6">
        <v>-650</v>
      </c>
      <c r="E63" s="6">
        <v>-650</v>
      </c>
      <c r="F63" s="6">
        <v>-650</v>
      </c>
    </row>
    <row r="64" spans="1:6" s="14" customFormat="1" x14ac:dyDescent="0.25">
      <c r="A64" s="14">
        <v>34</v>
      </c>
      <c r="B64" s="13" t="s">
        <v>133</v>
      </c>
      <c r="C64" s="6">
        <v>-100</v>
      </c>
      <c r="D64" s="6">
        <v>-280</v>
      </c>
      <c r="E64" s="6">
        <v>-280</v>
      </c>
      <c r="F64" s="6">
        <v>-280</v>
      </c>
    </row>
    <row r="65" spans="1:6" s="14" customFormat="1" x14ac:dyDescent="0.25">
      <c r="A65" s="14">
        <v>35</v>
      </c>
      <c r="B65" s="13" t="s">
        <v>134</v>
      </c>
      <c r="C65" s="6">
        <v>-650</v>
      </c>
      <c r="D65" s="6">
        <v>-650</v>
      </c>
      <c r="E65" s="6">
        <v>-650</v>
      </c>
      <c r="F65" s="6">
        <v>-650</v>
      </c>
    </row>
    <row r="66" spans="1:6" s="14" customFormat="1" x14ac:dyDescent="0.25">
      <c r="A66" s="14">
        <v>36</v>
      </c>
      <c r="B66" s="13" t="s">
        <v>135</v>
      </c>
      <c r="C66" s="6">
        <v>-250</v>
      </c>
      <c r="D66" s="6">
        <v>-250</v>
      </c>
      <c r="E66" s="6">
        <v>-250</v>
      </c>
      <c r="F66" s="6">
        <v>-250</v>
      </c>
    </row>
    <row r="67" spans="1:6" s="14" customFormat="1" x14ac:dyDescent="0.25">
      <c r="A67" s="14">
        <v>37</v>
      </c>
      <c r="B67" s="13" t="s">
        <v>136</v>
      </c>
      <c r="C67" s="6">
        <v>-250</v>
      </c>
      <c r="D67" s="6">
        <v>-250</v>
      </c>
      <c r="E67" s="6">
        <v>-250</v>
      </c>
      <c r="F67" s="6">
        <v>-250</v>
      </c>
    </row>
    <row r="68" spans="1:6" s="14" customFormat="1" x14ac:dyDescent="0.25">
      <c r="A68" s="14">
        <v>38</v>
      </c>
      <c r="B68" s="13" t="s">
        <v>137</v>
      </c>
      <c r="C68" s="6">
        <v>-150</v>
      </c>
      <c r="D68" s="6">
        <v>-150</v>
      </c>
      <c r="E68" s="6">
        <v>-150</v>
      </c>
      <c r="F68" s="6">
        <v>-150</v>
      </c>
    </row>
    <row r="69" spans="1:6" s="14" customFormat="1" x14ac:dyDescent="0.25">
      <c r="A69" s="14">
        <v>39</v>
      </c>
      <c r="B69" s="13" t="s">
        <v>138</v>
      </c>
      <c r="C69" s="6">
        <v>-200</v>
      </c>
      <c r="D69" s="6">
        <v>-200</v>
      </c>
      <c r="E69" s="6">
        <v>-200</v>
      </c>
      <c r="F69" s="6">
        <v>-200</v>
      </c>
    </row>
    <row r="70" spans="1:6" s="14" customFormat="1" x14ac:dyDescent="0.25">
      <c r="A70" s="14">
        <v>40</v>
      </c>
      <c r="B70" s="13" t="s">
        <v>139</v>
      </c>
      <c r="C70" s="6">
        <v>-50</v>
      </c>
      <c r="D70" s="6">
        <v>-50</v>
      </c>
      <c r="E70" s="6">
        <v>-50</v>
      </c>
      <c r="F70" s="6">
        <v>-50</v>
      </c>
    </row>
    <row r="71" spans="1:6" s="14" customFormat="1" x14ac:dyDescent="0.25">
      <c r="A71" s="14">
        <v>41</v>
      </c>
      <c r="B71" s="13" t="s">
        <v>140</v>
      </c>
      <c r="C71" s="6">
        <v>-50</v>
      </c>
      <c r="D71" s="6">
        <v>-100</v>
      </c>
      <c r="E71" s="6">
        <v>-150</v>
      </c>
      <c r="F71" s="6">
        <v>-150</v>
      </c>
    </row>
    <row r="72" spans="1:6" s="14" customFormat="1" x14ac:dyDescent="0.25">
      <c r="A72" s="14">
        <v>42</v>
      </c>
      <c r="B72" s="13" t="s">
        <v>141</v>
      </c>
      <c r="C72" s="6">
        <v>-1000</v>
      </c>
      <c r="D72" s="6">
        <v>-5000</v>
      </c>
      <c r="E72" s="6">
        <v>-7000</v>
      </c>
      <c r="F72" s="6">
        <v>-9000</v>
      </c>
    </row>
    <row r="73" spans="1:6" s="14" customFormat="1" x14ac:dyDescent="0.25">
      <c r="A73" s="14">
        <v>43</v>
      </c>
      <c r="B73" s="13" t="s">
        <v>142</v>
      </c>
      <c r="C73" s="6">
        <v>-1200</v>
      </c>
      <c r="D73" s="6">
        <v>-1200</v>
      </c>
      <c r="E73" s="6">
        <v>-1200</v>
      </c>
      <c r="F73" s="6">
        <v>-1200</v>
      </c>
    </row>
    <row r="74" spans="1:6" s="14" customFormat="1" x14ac:dyDescent="0.25">
      <c r="A74" s="14">
        <v>44</v>
      </c>
      <c r="B74" s="13" t="s">
        <v>143</v>
      </c>
      <c r="C74" s="6">
        <v>-1350</v>
      </c>
      <c r="D74" s="6">
        <v>-1350</v>
      </c>
      <c r="E74" s="6">
        <v>-1350</v>
      </c>
      <c r="F74" s="6">
        <v>-1350</v>
      </c>
    </row>
    <row r="75" spans="1:6" x14ac:dyDescent="0.25">
      <c r="A75" s="14">
        <v>45</v>
      </c>
      <c r="B75" s="13" t="s">
        <v>144</v>
      </c>
      <c r="C75" s="6">
        <v>-1000</v>
      </c>
      <c r="D75" s="6">
        <v>0</v>
      </c>
      <c r="E75" s="6">
        <v>0</v>
      </c>
      <c r="F75" s="6">
        <v>0</v>
      </c>
    </row>
    <row r="76" spans="1:6" x14ac:dyDescent="0.25">
      <c r="A76" s="14">
        <v>46</v>
      </c>
      <c r="B76" s="13" t="s">
        <v>145</v>
      </c>
      <c r="C76" s="6">
        <v>-1400</v>
      </c>
      <c r="D76" s="6">
        <v>-1400</v>
      </c>
      <c r="E76" s="6">
        <v>-1400</v>
      </c>
      <c r="F76" s="6">
        <v>-1400</v>
      </c>
    </row>
    <row r="77" spans="1:6" x14ac:dyDescent="0.25">
      <c r="A77" s="14">
        <v>47</v>
      </c>
      <c r="B77" s="13" t="s">
        <v>146</v>
      </c>
      <c r="C77" s="6">
        <v>-550</v>
      </c>
      <c r="D77" s="6">
        <v>-550</v>
      </c>
      <c r="E77" s="6">
        <v>-550</v>
      </c>
      <c r="F77" s="6">
        <v>-550</v>
      </c>
    </row>
    <row r="78" spans="1:6" x14ac:dyDescent="0.25">
      <c r="A78" s="14">
        <v>48</v>
      </c>
      <c r="B78" s="13" t="s">
        <v>147</v>
      </c>
      <c r="C78" s="18">
        <v>-12020</v>
      </c>
      <c r="D78" s="18">
        <v>-14500</v>
      </c>
      <c r="E78" s="18">
        <v>-49750</v>
      </c>
      <c r="F78" s="18">
        <v>-73790</v>
      </c>
    </row>
    <row r="79" spans="1:6" x14ac:dyDescent="0.25">
      <c r="A79" s="14"/>
      <c r="B79" s="1" t="s">
        <v>98</v>
      </c>
      <c r="C79" s="16">
        <f>SUM(C48:C78)</f>
        <v>-30920</v>
      </c>
      <c r="D79" s="16">
        <f>SUM(D48:D78)</f>
        <v>-50230</v>
      </c>
      <c r="E79" s="16">
        <f>SUM(E48:E78)</f>
        <v>-88880</v>
      </c>
      <c r="F79" s="16">
        <f>SUM(F48:F78)</f>
        <v>-115920</v>
      </c>
    </row>
    <row r="80" spans="1:6" ht="15.75" thickBot="1" x14ac:dyDescent="0.3">
      <c r="A80" s="14"/>
      <c r="B80" s="10" t="s">
        <v>93</v>
      </c>
      <c r="C80" s="34">
        <f>C47+C79</f>
        <v>-5348</v>
      </c>
      <c r="D80" s="34">
        <f>D47+D79</f>
        <v>-22758</v>
      </c>
      <c r="E80" s="34">
        <f>E47+E79</f>
        <v>-63308</v>
      </c>
      <c r="F80" s="34">
        <f>F47+F79</f>
        <v>-76348</v>
      </c>
    </row>
    <row r="81" spans="1:6" ht="15.75" thickTop="1" x14ac:dyDescent="0.25">
      <c r="A81" s="14"/>
      <c r="B81" s="14"/>
      <c r="C81" s="14"/>
      <c r="D81" s="14"/>
      <c r="E81" s="14"/>
      <c r="F81" s="14"/>
    </row>
    <row r="82" spans="1:6" x14ac:dyDescent="0.25">
      <c r="A82" s="14"/>
      <c r="B82" s="14" t="s">
        <v>14</v>
      </c>
      <c r="C82" s="14"/>
      <c r="D82" s="14"/>
      <c r="E82" s="14"/>
      <c r="F82" s="14"/>
    </row>
    <row r="83" spans="1:6" x14ac:dyDescent="0.25">
      <c r="A83" s="14"/>
      <c r="B83" s="30" t="s">
        <v>95</v>
      </c>
      <c r="C83" s="27" t="s">
        <v>3</v>
      </c>
      <c r="D83" s="27" t="s">
        <v>4</v>
      </c>
      <c r="E83" s="27" t="s">
        <v>5</v>
      </c>
      <c r="F83" s="27" t="s">
        <v>6</v>
      </c>
    </row>
    <row r="84" spans="1:6" x14ac:dyDescent="0.25">
      <c r="A84" s="14">
        <v>1</v>
      </c>
      <c r="B84" s="14" t="s">
        <v>148</v>
      </c>
      <c r="C84" s="18">
        <v>13712.4</v>
      </c>
      <c r="D84" s="18">
        <v>18831.099999999999</v>
      </c>
      <c r="E84" s="18">
        <v>24164.799999999999</v>
      </c>
      <c r="F84" s="18">
        <v>29722.5</v>
      </c>
    </row>
    <row r="85" spans="1:6" x14ac:dyDescent="0.25">
      <c r="A85" s="14">
        <v>2</v>
      </c>
      <c r="B85" s="3" t="s">
        <v>149</v>
      </c>
      <c r="C85" s="18">
        <v>2700</v>
      </c>
      <c r="D85" s="18">
        <v>2700</v>
      </c>
      <c r="E85" s="18">
        <v>2700</v>
      </c>
      <c r="F85" s="18">
        <v>2700</v>
      </c>
    </row>
    <row r="86" spans="1:6" x14ac:dyDescent="0.25">
      <c r="A86" s="14">
        <v>3</v>
      </c>
      <c r="B86" s="3" t="s">
        <v>150</v>
      </c>
      <c r="C86" s="18">
        <v>750</v>
      </c>
      <c r="D86" s="18">
        <v>1500</v>
      </c>
      <c r="E86" s="18">
        <v>0</v>
      </c>
      <c r="F86" s="18">
        <v>0</v>
      </c>
    </row>
    <row r="87" spans="1:6" s="14" customFormat="1" x14ac:dyDescent="0.25">
      <c r="A87" s="14">
        <v>4</v>
      </c>
      <c r="B87" s="3" t="s">
        <v>151</v>
      </c>
      <c r="C87" s="18">
        <v>950</v>
      </c>
      <c r="D87" s="18">
        <v>950</v>
      </c>
      <c r="E87" s="18">
        <v>950</v>
      </c>
      <c r="F87" s="18">
        <v>950</v>
      </c>
    </row>
    <row r="88" spans="1:6" s="14" customFormat="1" x14ac:dyDescent="0.25">
      <c r="A88" s="14">
        <v>5</v>
      </c>
      <c r="B88" s="3" t="s">
        <v>152</v>
      </c>
      <c r="C88" s="18">
        <v>891.18399999999997</v>
      </c>
      <c r="D88" s="20">
        <v>891.18399999999997</v>
      </c>
      <c r="E88" s="20">
        <v>891.18399999999997</v>
      </c>
      <c r="F88" s="20">
        <v>891.18399999999997</v>
      </c>
    </row>
    <row r="89" spans="1:6" s="14" customFormat="1" x14ac:dyDescent="0.25">
      <c r="A89" s="14">
        <v>6</v>
      </c>
      <c r="B89" s="3" t="s">
        <v>214</v>
      </c>
      <c r="C89" s="18">
        <v>600</v>
      </c>
      <c r="D89" s="18">
        <v>600</v>
      </c>
      <c r="E89" s="18">
        <v>600</v>
      </c>
      <c r="F89" s="18">
        <v>600</v>
      </c>
    </row>
    <row r="90" spans="1:6" s="14" customFormat="1" x14ac:dyDescent="0.25">
      <c r="A90" s="14">
        <v>7</v>
      </c>
      <c r="B90" s="3" t="s">
        <v>153</v>
      </c>
      <c r="C90" s="18">
        <v>4000</v>
      </c>
      <c r="D90" s="18">
        <v>4000</v>
      </c>
      <c r="E90" s="18">
        <v>4000</v>
      </c>
      <c r="F90" s="18">
        <v>4000</v>
      </c>
    </row>
    <row r="91" spans="1:6" s="14" customFormat="1" x14ac:dyDescent="0.25">
      <c r="A91" s="14">
        <v>8</v>
      </c>
      <c r="B91" s="3" t="s">
        <v>154</v>
      </c>
      <c r="C91" s="18">
        <v>929.88</v>
      </c>
      <c r="D91" s="18">
        <v>929.88</v>
      </c>
      <c r="E91" s="18">
        <v>929.88</v>
      </c>
      <c r="F91" s="18">
        <v>929.88</v>
      </c>
    </row>
    <row r="92" spans="1:6" s="14" customFormat="1" x14ac:dyDescent="0.25">
      <c r="A92" s="14">
        <v>9</v>
      </c>
      <c r="B92" s="3" t="s">
        <v>155</v>
      </c>
      <c r="C92" s="18">
        <v>-6900</v>
      </c>
      <c r="D92" s="18">
        <v>3200</v>
      </c>
      <c r="E92" s="18">
        <v>3200</v>
      </c>
      <c r="F92" s="18">
        <v>3200</v>
      </c>
    </row>
    <row r="93" spans="1:6" s="14" customFormat="1" x14ac:dyDescent="0.25">
      <c r="A93" s="14">
        <v>10</v>
      </c>
      <c r="B93" s="3" t="s">
        <v>156</v>
      </c>
      <c r="C93" s="18">
        <v>306</v>
      </c>
      <c r="D93" s="18">
        <v>5797</v>
      </c>
      <c r="E93" s="18">
        <v>9978</v>
      </c>
      <c r="F93" s="18">
        <v>15499</v>
      </c>
    </row>
    <row r="94" spans="1:6" s="14" customFormat="1" x14ac:dyDescent="0.25">
      <c r="A94" s="14">
        <v>11</v>
      </c>
      <c r="B94" s="3" t="s">
        <v>157</v>
      </c>
      <c r="C94" s="18">
        <v>-1250</v>
      </c>
      <c r="D94" s="18">
        <v>-1250</v>
      </c>
      <c r="E94" s="18">
        <v>0</v>
      </c>
      <c r="F94" s="18">
        <v>0</v>
      </c>
    </row>
    <row r="95" spans="1:6" s="14" customFormat="1" x14ac:dyDescent="0.25">
      <c r="A95" s="14">
        <v>12</v>
      </c>
      <c r="B95" s="3" t="s">
        <v>158</v>
      </c>
      <c r="C95" s="18">
        <f>4500+750</f>
        <v>5250</v>
      </c>
      <c r="D95" s="18">
        <f t="shared" ref="D95:F95" si="4">4500+750</f>
        <v>5250</v>
      </c>
      <c r="E95" s="18">
        <f t="shared" si="4"/>
        <v>5250</v>
      </c>
      <c r="F95" s="18">
        <f t="shared" si="4"/>
        <v>5250</v>
      </c>
    </row>
    <row r="96" spans="1:6" x14ac:dyDescent="0.25">
      <c r="A96" s="14"/>
      <c r="B96" s="1" t="s">
        <v>97</v>
      </c>
      <c r="C96" s="16">
        <f>SUM(C84:C95)</f>
        <v>21939.464000000004</v>
      </c>
      <c r="D96" s="16">
        <f>SUM(D84:D95)</f>
        <v>43399.164000000004</v>
      </c>
      <c r="E96" s="16">
        <f>SUM(E84:E95)</f>
        <v>52663.863999999994</v>
      </c>
      <c r="F96" s="16">
        <f>SUM(F84:F95)</f>
        <v>63742.563999999998</v>
      </c>
    </row>
    <row r="97" spans="1:6" s="14" customFormat="1" x14ac:dyDescent="0.25">
      <c r="A97" s="14">
        <v>13</v>
      </c>
      <c r="B97" s="14" t="s">
        <v>159</v>
      </c>
      <c r="C97" s="17">
        <v>-2000</v>
      </c>
      <c r="D97" s="17">
        <v>-7000</v>
      </c>
      <c r="E97" s="17">
        <v>-14000</v>
      </c>
      <c r="F97" s="17">
        <v>-20600</v>
      </c>
    </row>
    <row r="98" spans="1:6" s="14" customFormat="1" x14ac:dyDescent="0.25">
      <c r="A98" s="14">
        <v>14</v>
      </c>
      <c r="B98" s="14" t="s">
        <v>160</v>
      </c>
      <c r="C98" s="17">
        <v>0</v>
      </c>
      <c r="D98" s="17">
        <v>-606.55399999999997</v>
      </c>
      <c r="E98" s="17">
        <v>-606.55399999999997</v>
      </c>
      <c r="F98" s="17">
        <v>-1819.663</v>
      </c>
    </row>
    <row r="99" spans="1:6" s="14" customFormat="1" x14ac:dyDescent="0.25">
      <c r="A99" s="14">
        <v>15</v>
      </c>
      <c r="B99" s="14" t="s">
        <v>161</v>
      </c>
      <c r="C99" s="17">
        <v>-10000</v>
      </c>
      <c r="D99" s="17">
        <v>-10000</v>
      </c>
      <c r="E99" s="17">
        <v>-10000</v>
      </c>
      <c r="F99" s="17">
        <v>-10000</v>
      </c>
    </row>
    <row r="100" spans="1:6" s="14" customFormat="1" x14ac:dyDescent="0.25">
      <c r="A100" s="14">
        <v>16</v>
      </c>
      <c r="B100" s="14" t="s">
        <v>162</v>
      </c>
      <c r="C100" s="17">
        <f>-5200</f>
        <v>-5200</v>
      </c>
      <c r="D100" s="17">
        <f t="shared" ref="D100:F100" si="5">-5200</f>
        <v>-5200</v>
      </c>
      <c r="E100" s="17">
        <f t="shared" si="5"/>
        <v>-5200</v>
      </c>
      <c r="F100" s="17">
        <f t="shared" si="5"/>
        <v>-5200</v>
      </c>
    </row>
    <row r="101" spans="1:6" s="14" customFormat="1" x14ac:dyDescent="0.25">
      <c r="A101" s="14">
        <v>17</v>
      </c>
      <c r="B101" s="14" t="s">
        <v>163</v>
      </c>
      <c r="C101" s="17">
        <v>-200</v>
      </c>
      <c r="D101" s="17">
        <v>-200</v>
      </c>
      <c r="E101" s="17">
        <v>-200</v>
      </c>
      <c r="F101" s="17">
        <v>-200</v>
      </c>
    </row>
    <row r="102" spans="1:6" s="14" customFormat="1" x14ac:dyDescent="0.25">
      <c r="A102" s="14">
        <v>18</v>
      </c>
      <c r="B102" s="14" t="s">
        <v>164</v>
      </c>
      <c r="C102" s="17">
        <v>0</v>
      </c>
      <c r="D102" s="17">
        <v>-2500</v>
      </c>
      <c r="E102" s="17">
        <v>-2500</v>
      </c>
      <c r="F102" s="17">
        <v>-2500</v>
      </c>
    </row>
    <row r="103" spans="1:6" s="14" customFormat="1" x14ac:dyDescent="0.25">
      <c r="A103" s="14">
        <v>19</v>
      </c>
      <c r="B103" s="14" t="s">
        <v>165</v>
      </c>
      <c r="C103" s="17">
        <v>-676.5</v>
      </c>
      <c r="D103" s="17">
        <v>-1353</v>
      </c>
      <c r="E103" s="17">
        <v>-1353</v>
      </c>
      <c r="F103" s="17">
        <v>-4173.1930000000002</v>
      </c>
    </row>
    <row r="104" spans="1:6" s="14" customFormat="1" x14ac:dyDescent="0.25">
      <c r="A104" s="14">
        <v>20</v>
      </c>
      <c r="B104" s="14" t="s">
        <v>166</v>
      </c>
      <c r="C104" s="17">
        <v>-250</v>
      </c>
      <c r="D104" s="17">
        <v>-1000</v>
      </c>
      <c r="E104" s="17">
        <v>-1000</v>
      </c>
      <c r="F104" s="17">
        <v>-1000</v>
      </c>
    </row>
    <row r="105" spans="1:6" s="14" customFormat="1" x14ac:dyDescent="0.25">
      <c r="A105" s="14">
        <v>21</v>
      </c>
      <c r="B105" s="14" t="s">
        <v>167</v>
      </c>
      <c r="C105" s="17">
        <v>-1000</v>
      </c>
      <c r="D105" s="17">
        <v>-1250</v>
      </c>
      <c r="E105" s="17">
        <v>-2500</v>
      </c>
      <c r="F105" s="17">
        <v>-5000</v>
      </c>
    </row>
    <row r="106" spans="1:6" s="14" customFormat="1" x14ac:dyDescent="0.25">
      <c r="A106" s="14">
        <v>22</v>
      </c>
      <c r="B106" s="14" t="s">
        <v>168</v>
      </c>
      <c r="C106" s="17">
        <v>-667</v>
      </c>
      <c r="D106" s="17">
        <v>-1000</v>
      </c>
      <c r="E106" s="17">
        <v>-1000</v>
      </c>
      <c r="F106" s="17">
        <v>-1000</v>
      </c>
    </row>
    <row r="107" spans="1:6" s="14" customFormat="1" x14ac:dyDescent="0.25">
      <c r="A107" s="14">
        <v>23</v>
      </c>
      <c r="B107" s="14" t="s">
        <v>169</v>
      </c>
      <c r="C107" s="17">
        <v>-600</v>
      </c>
      <c r="D107" s="17">
        <v>-600</v>
      </c>
      <c r="E107" s="17">
        <v>-1200</v>
      </c>
      <c r="F107" s="17">
        <v>-1200</v>
      </c>
    </row>
    <row r="108" spans="1:6" s="14" customFormat="1" x14ac:dyDescent="0.25">
      <c r="A108" s="14">
        <v>24</v>
      </c>
      <c r="B108" s="14" t="s">
        <v>170</v>
      </c>
      <c r="C108" s="17">
        <v>-350</v>
      </c>
      <c r="D108" s="17">
        <v>-1500</v>
      </c>
      <c r="E108" s="17">
        <v>-1500</v>
      </c>
      <c r="F108" s="17">
        <v>-1500</v>
      </c>
    </row>
    <row r="109" spans="1:6" s="14" customFormat="1" x14ac:dyDescent="0.25">
      <c r="A109" s="14">
        <v>25</v>
      </c>
      <c r="B109" s="14" t="s">
        <v>171</v>
      </c>
      <c r="C109" s="17">
        <v>0</v>
      </c>
      <c r="D109" s="17">
        <v>-1000</v>
      </c>
      <c r="E109" s="17">
        <v>-2000</v>
      </c>
      <c r="F109" s="17">
        <v>-2000</v>
      </c>
    </row>
    <row r="110" spans="1:6" s="14" customFormat="1" x14ac:dyDescent="0.25">
      <c r="A110" s="14">
        <v>26</v>
      </c>
      <c r="B110" s="14" t="s">
        <v>172</v>
      </c>
      <c r="C110" s="17">
        <v>0</v>
      </c>
      <c r="D110" s="17">
        <v>-600</v>
      </c>
      <c r="E110" s="17">
        <v>-600</v>
      </c>
      <c r="F110" s="17">
        <v>-600</v>
      </c>
    </row>
    <row r="111" spans="1:6" s="14" customFormat="1" x14ac:dyDescent="0.25">
      <c r="A111" s="14">
        <v>27</v>
      </c>
      <c r="B111" s="14" t="s">
        <v>173</v>
      </c>
      <c r="C111" s="17">
        <v>-4000</v>
      </c>
      <c r="D111" s="17">
        <v>-4000</v>
      </c>
      <c r="E111" s="17">
        <v>-4000</v>
      </c>
      <c r="F111" s="17">
        <v>-4000</v>
      </c>
    </row>
    <row r="112" spans="1:6" s="14" customFormat="1" x14ac:dyDescent="0.25">
      <c r="A112" s="14">
        <v>28</v>
      </c>
      <c r="B112" s="14" t="s">
        <v>174</v>
      </c>
      <c r="C112" s="17">
        <v>0</v>
      </c>
      <c r="D112" s="17">
        <v>-1846.3053309243492</v>
      </c>
      <c r="E112" s="17">
        <v>-3692.6106618486983</v>
      </c>
      <c r="F112" s="17">
        <v>-5538.9159927730479</v>
      </c>
    </row>
    <row r="113" spans="1:6" s="14" customFormat="1" x14ac:dyDescent="0.25">
      <c r="A113" s="14">
        <v>29</v>
      </c>
      <c r="B113" s="14" t="s">
        <v>175</v>
      </c>
      <c r="C113" s="17">
        <v>0</v>
      </c>
      <c r="D113" s="17">
        <v>-616.79999999999995</v>
      </c>
      <c r="E113" s="17">
        <v>-616.79999999999995</v>
      </c>
      <c r="F113" s="17">
        <v>-616.79999999999995</v>
      </c>
    </row>
    <row r="114" spans="1:6" s="14" customFormat="1" x14ac:dyDescent="0.25">
      <c r="A114" s="14">
        <v>30</v>
      </c>
      <c r="B114" s="14" t="s">
        <v>176</v>
      </c>
      <c r="C114" s="17">
        <v>0</v>
      </c>
      <c r="D114" s="17">
        <v>-6000</v>
      </c>
      <c r="E114" s="17">
        <v>-6000</v>
      </c>
      <c r="F114" s="17">
        <v>-6000</v>
      </c>
    </row>
    <row r="115" spans="1:6" s="14" customFormat="1" x14ac:dyDescent="0.25">
      <c r="A115" s="14">
        <v>31</v>
      </c>
      <c r="B115" s="14" t="s">
        <v>177</v>
      </c>
      <c r="C115" s="17">
        <v>0</v>
      </c>
      <c r="D115" s="17">
        <v>0</v>
      </c>
      <c r="E115" s="17">
        <v>0</v>
      </c>
      <c r="F115" s="17">
        <v>-20000</v>
      </c>
    </row>
    <row r="116" spans="1:6" s="14" customFormat="1" x14ac:dyDescent="0.25">
      <c r="A116" s="14">
        <v>32</v>
      </c>
      <c r="B116" s="14" t="s">
        <v>178</v>
      </c>
      <c r="C116" s="17">
        <v>0</v>
      </c>
      <c r="D116" s="17">
        <v>-1500</v>
      </c>
      <c r="E116" s="17">
        <v>-1500</v>
      </c>
      <c r="F116" s="17">
        <v>-1500</v>
      </c>
    </row>
    <row r="117" spans="1:6" s="14" customFormat="1" x14ac:dyDescent="0.25">
      <c r="A117" s="14">
        <v>33</v>
      </c>
      <c r="B117" s="14" t="s">
        <v>179</v>
      </c>
      <c r="C117" s="17">
        <v>-550</v>
      </c>
      <c r="D117" s="17">
        <v>-1100</v>
      </c>
      <c r="E117" s="17">
        <v>-1100</v>
      </c>
      <c r="F117" s="17">
        <v>-1100</v>
      </c>
    </row>
    <row r="118" spans="1:6" s="14" customFormat="1" x14ac:dyDescent="0.25">
      <c r="A118" s="14">
        <v>34</v>
      </c>
      <c r="B118" s="14" t="s">
        <v>180</v>
      </c>
      <c r="C118" s="17">
        <v>0</v>
      </c>
      <c r="D118" s="17">
        <v>-1576.4290000000001</v>
      </c>
      <c r="E118" s="17">
        <v>-1576.4290000000001</v>
      </c>
      <c r="F118" s="17">
        <v>-1576.4290000000001</v>
      </c>
    </row>
    <row r="119" spans="1:6" s="14" customFormat="1" x14ac:dyDescent="0.25">
      <c r="A119" s="14">
        <v>35</v>
      </c>
      <c r="B119" s="14" t="s">
        <v>181</v>
      </c>
      <c r="C119" s="17">
        <v>-2200</v>
      </c>
      <c r="D119" s="17">
        <v>-2200</v>
      </c>
      <c r="E119" s="17">
        <v>-2200</v>
      </c>
      <c r="F119" s="17">
        <v>-2200</v>
      </c>
    </row>
    <row r="120" spans="1:6" s="14" customFormat="1" x14ac:dyDescent="0.25">
      <c r="A120" s="14">
        <v>36</v>
      </c>
      <c r="B120" s="14" t="s">
        <v>182</v>
      </c>
      <c r="C120" s="17">
        <v>-500</v>
      </c>
      <c r="D120" s="17">
        <v>-1000</v>
      </c>
      <c r="E120" s="17">
        <v>-1000</v>
      </c>
      <c r="F120" s="17">
        <v>-1000</v>
      </c>
    </row>
    <row r="121" spans="1:6" s="14" customFormat="1" x14ac:dyDescent="0.25">
      <c r="A121" s="14">
        <v>37</v>
      </c>
      <c r="B121" s="14" t="s">
        <v>183</v>
      </c>
      <c r="C121" s="17">
        <v>-300</v>
      </c>
      <c r="D121" s="17">
        <v>-600</v>
      </c>
      <c r="E121" s="17">
        <v>-600</v>
      </c>
      <c r="F121" s="17">
        <v>-600</v>
      </c>
    </row>
    <row r="122" spans="1:6" s="14" customFormat="1" x14ac:dyDescent="0.25">
      <c r="A122" s="14">
        <v>38</v>
      </c>
      <c r="B122" s="14" t="s">
        <v>184</v>
      </c>
      <c r="C122" s="17">
        <v>-500</v>
      </c>
      <c r="D122" s="17">
        <v>-500</v>
      </c>
      <c r="E122" s="17">
        <v>-500</v>
      </c>
      <c r="F122" s="17">
        <v>-500</v>
      </c>
    </row>
    <row r="123" spans="1:6" s="14" customFormat="1" x14ac:dyDescent="0.25">
      <c r="A123" s="14">
        <v>39</v>
      </c>
      <c r="B123" s="14" t="s">
        <v>185</v>
      </c>
      <c r="C123" s="17">
        <v>-4953.3339999999998</v>
      </c>
      <c r="D123" s="17">
        <v>-6200</v>
      </c>
      <c r="E123" s="17">
        <v>-6200</v>
      </c>
      <c r="F123" s="17">
        <v>-6200</v>
      </c>
    </row>
    <row r="124" spans="1:6" s="14" customFormat="1" x14ac:dyDescent="0.25">
      <c r="A124" s="14">
        <v>40</v>
      </c>
      <c r="B124" s="14" t="s">
        <v>186</v>
      </c>
      <c r="C124" s="17">
        <v>-600</v>
      </c>
      <c r="D124" s="17">
        <v>-600</v>
      </c>
      <c r="E124" s="17">
        <v>-600</v>
      </c>
      <c r="F124" s="17">
        <v>-600</v>
      </c>
    </row>
    <row r="125" spans="1:6" s="14" customFormat="1" x14ac:dyDescent="0.25">
      <c r="A125" s="14">
        <v>41</v>
      </c>
      <c r="B125" s="14" t="s">
        <v>187</v>
      </c>
      <c r="C125" s="17">
        <v>-4457</v>
      </c>
      <c r="D125" s="17">
        <v>-8911</v>
      </c>
      <c r="E125" s="17">
        <v>-8911</v>
      </c>
      <c r="F125" s="17">
        <v>-8911</v>
      </c>
    </row>
    <row r="126" spans="1:6" s="14" customFormat="1" x14ac:dyDescent="0.25">
      <c r="A126" s="14">
        <v>42</v>
      </c>
      <c r="B126" s="14" t="s">
        <v>188</v>
      </c>
      <c r="C126" s="17">
        <f>-153+7500-7850-100-600</f>
        <v>-1203</v>
      </c>
      <c r="D126" s="17">
        <f>13999-1300+7500-600-15150-100-900</f>
        <v>3449</v>
      </c>
      <c r="E126" s="17">
        <f>-12345-1300+7500-600-21800-100-900</f>
        <v>-29545</v>
      </c>
      <c r="F126" s="17">
        <f>6345-1300-15000+7500-600-21800-100-900</f>
        <v>-25855</v>
      </c>
    </row>
    <row r="127" spans="1:6" x14ac:dyDescent="0.25">
      <c r="A127" s="14"/>
      <c r="B127" s="1" t="s">
        <v>98</v>
      </c>
      <c r="C127" s="16">
        <f>SUM(C97:C126)</f>
        <v>-40206.834000000003</v>
      </c>
      <c r="D127" s="16">
        <f>SUM(D97:D126)</f>
        <v>-67011.088330924351</v>
      </c>
      <c r="E127" s="16">
        <f>SUM(E97:E126)</f>
        <v>-111701.39366184871</v>
      </c>
      <c r="F127" s="16">
        <f>SUM(F97:F126)</f>
        <v>-142991.00099277304</v>
      </c>
    </row>
    <row r="128" spans="1:6" ht="15.75" thickBot="1" x14ac:dyDescent="0.3">
      <c r="A128" s="14"/>
      <c r="B128" s="10" t="s">
        <v>93</v>
      </c>
      <c r="C128" s="34">
        <f>C96+C127</f>
        <v>-18267.37</v>
      </c>
      <c r="D128" s="11">
        <f>D96+D127</f>
        <v>-23611.924330924347</v>
      </c>
      <c r="E128" s="11">
        <f>E96+E127</f>
        <v>-59037.529661848712</v>
      </c>
      <c r="F128" s="11">
        <f>F96+F127</f>
        <v>-79248.436992773044</v>
      </c>
    </row>
    <row r="129" spans="1:6" s="14" customFormat="1" ht="15.75" thickTop="1" x14ac:dyDescent="0.25">
      <c r="B129" s="21"/>
      <c r="C129" s="22"/>
      <c r="D129" s="35"/>
      <c r="E129" s="35"/>
      <c r="F129" s="35"/>
    </row>
    <row r="130" spans="1:6" x14ac:dyDescent="0.25">
      <c r="A130" s="14"/>
      <c r="B130" s="14"/>
      <c r="C130" s="14"/>
      <c r="D130" s="14"/>
      <c r="E130" s="14"/>
      <c r="F130" s="14"/>
    </row>
    <row r="131" spans="1:6" x14ac:dyDescent="0.25">
      <c r="A131" s="14"/>
      <c r="B131" s="14" t="s">
        <v>15</v>
      </c>
      <c r="C131" s="14"/>
      <c r="D131" s="14"/>
      <c r="E131" s="14"/>
      <c r="F131" s="14"/>
    </row>
    <row r="132" spans="1:6" x14ac:dyDescent="0.25">
      <c r="A132" s="14"/>
      <c r="B132" s="30" t="s">
        <v>95</v>
      </c>
      <c r="C132" s="27" t="s">
        <v>3</v>
      </c>
      <c r="D132" s="27" t="s">
        <v>4</v>
      </c>
      <c r="E132" s="27" t="s">
        <v>5</v>
      </c>
      <c r="F132" s="27" t="s">
        <v>6</v>
      </c>
    </row>
    <row r="133" spans="1:6" x14ac:dyDescent="0.25">
      <c r="A133" s="14">
        <v>1</v>
      </c>
      <c r="B133" s="14" t="s">
        <v>189</v>
      </c>
      <c r="C133" s="18">
        <v>943</v>
      </c>
      <c r="D133" s="18">
        <v>943</v>
      </c>
      <c r="E133" s="18">
        <v>943</v>
      </c>
      <c r="F133" s="18">
        <v>943</v>
      </c>
    </row>
    <row r="134" spans="1:6" x14ac:dyDescent="0.25">
      <c r="A134" s="14">
        <v>2</v>
      </c>
      <c r="B134" s="14" t="s">
        <v>191</v>
      </c>
      <c r="C134" s="18">
        <v>-535</v>
      </c>
      <c r="D134" s="18">
        <v>-535</v>
      </c>
      <c r="E134" s="18">
        <v>-535</v>
      </c>
      <c r="F134" s="18">
        <v>-535</v>
      </c>
    </row>
    <row r="135" spans="1:6" x14ac:dyDescent="0.25">
      <c r="A135" s="14">
        <v>3</v>
      </c>
      <c r="B135" s="14" t="s">
        <v>192</v>
      </c>
      <c r="C135" s="18">
        <v>3085</v>
      </c>
      <c r="D135" s="18">
        <v>3085</v>
      </c>
      <c r="E135" s="18">
        <v>3085</v>
      </c>
      <c r="F135" s="18">
        <v>3085</v>
      </c>
    </row>
    <row r="136" spans="1:6" x14ac:dyDescent="0.25">
      <c r="A136" s="14">
        <v>4</v>
      </c>
      <c r="B136" s="14" t="s">
        <v>193</v>
      </c>
      <c r="C136" s="18">
        <v>285</v>
      </c>
      <c r="D136" s="18">
        <v>285</v>
      </c>
      <c r="E136" s="18">
        <v>285</v>
      </c>
      <c r="F136" s="18">
        <v>285</v>
      </c>
    </row>
    <row r="137" spans="1:6" x14ac:dyDescent="0.25">
      <c r="A137" s="14"/>
      <c r="B137" s="1" t="s">
        <v>97</v>
      </c>
      <c r="C137" s="16">
        <f>SUM(C133:C136)</f>
        <v>3778</v>
      </c>
      <c r="D137" s="16">
        <f>SUM(D133:D136)</f>
        <v>3778</v>
      </c>
      <c r="E137" s="16">
        <f>SUM(E133:E136)</f>
        <v>3778</v>
      </c>
      <c r="F137" s="16">
        <f>SUM(F133:F136)</f>
        <v>3778</v>
      </c>
    </row>
    <row r="138" spans="1:6" x14ac:dyDescent="0.25">
      <c r="A138" s="14">
        <v>5</v>
      </c>
      <c r="B138" s="26" t="s">
        <v>194</v>
      </c>
      <c r="C138" s="18">
        <v>0</v>
      </c>
      <c r="D138" s="18">
        <v>-500</v>
      </c>
      <c r="E138" s="18">
        <v>-500</v>
      </c>
      <c r="F138" s="18">
        <v>-840</v>
      </c>
    </row>
    <row r="139" spans="1:6" x14ac:dyDescent="0.25">
      <c r="A139" s="14">
        <v>6</v>
      </c>
      <c r="B139" s="13" t="s">
        <v>195</v>
      </c>
      <c r="C139" s="18">
        <v>-500</v>
      </c>
      <c r="D139" s="18">
        <v>-1000</v>
      </c>
      <c r="E139" s="18">
        <v>-1000</v>
      </c>
      <c r="F139" s="18">
        <v>-1000</v>
      </c>
    </row>
    <row r="140" spans="1:6" x14ac:dyDescent="0.25">
      <c r="A140" s="14">
        <v>7</v>
      </c>
      <c r="B140" s="13" t="s">
        <v>196</v>
      </c>
      <c r="C140" s="18">
        <v>0</v>
      </c>
      <c r="D140" s="18">
        <v>0</v>
      </c>
      <c r="E140" s="18">
        <v>-1250</v>
      </c>
      <c r="F140" s="18">
        <v>-2500</v>
      </c>
    </row>
    <row r="141" spans="1:6" x14ac:dyDescent="0.25">
      <c r="A141" s="14">
        <v>8</v>
      </c>
      <c r="B141" s="13" t="s">
        <v>197</v>
      </c>
      <c r="C141" s="18">
        <v>-150</v>
      </c>
      <c r="D141" s="18">
        <v>-250</v>
      </c>
      <c r="E141" s="18">
        <v>-500</v>
      </c>
      <c r="F141" s="18">
        <v>-500</v>
      </c>
    </row>
    <row r="142" spans="1:6" s="14" customFormat="1" x14ac:dyDescent="0.25">
      <c r="A142" s="14">
        <v>9</v>
      </c>
      <c r="B142" s="13" t="s">
        <v>198</v>
      </c>
      <c r="C142" s="18">
        <v>0</v>
      </c>
      <c r="D142" s="18">
        <v>0</v>
      </c>
      <c r="E142" s="18">
        <v>-400</v>
      </c>
      <c r="F142" s="18">
        <v>-500</v>
      </c>
    </row>
    <row r="143" spans="1:6" s="14" customFormat="1" x14ac:dyDescent="0.25">
      <c r="A143" s="14">
        <v>10</v>
      </c>
      <c r="B143" s="13" t="s">
        <v>199</v>
      </c>
      <c r="C143" s="18">
        <v>-400</v>
      </c>
      <c r="D143" s="18">
        <v>-800</v>
      </c>
      <c r="E143" s="18">
        <v>-1000</v>
      </c>
      <c r="F143" s="18">
        <v>-1000</v>
      </c>
    </row>
    <row r="144" spans="1:6" s="14" customFormat="1" x14ac:dyDescent="0.25">
      <c r="A144" s="14">
        <v>11</v>
      </c>
      <c r="B144" s="13" t="s">
        <v>200</v>
      </c>
      <c r="C144" s="18">
        <v>-250</v>
      </c>
      <c r="D144" s="18">
        <v>-500</v>
      </c>
      <c r="E144" s="18">
        <v>-500</v>
      </c>
      <c r="F144" s="18">
        <v>-500</v>
      </c>
    </row>
    <row r="145" spans="1:6" s="14" customFormat="1" x14ac:dyDescent="0.25">
      <c r="A145" s="14">
        <v>12</v>
      </c>
      <c r="B145" s="13" t="s">
        <v>201</v>
      </c>
      <c r="C145" s="18">
        <v>-250</v>
      </c>
      <c r="D145" s="18">
        <v>-250</v>
      </c>
      <c r="E145" s="18">
        <v>-250</v>
      </c>
      <c r="F145" s="18">
        <v>-250</v>
      </c>
    </row>
    <row r="146" spans="1:6" s="14" customFormat="1" x14ac:dyDescent="0.25">
      <c r="A146" s="14">
        <v>13</v>
      </c>
      <c r="B146" s="13" t="s">
        <v>202</v>
      </c>
      <c r="C146" s="18">
        <v>0</v>
      </c>
      <c r="D146" s="18">
        <v>-30</v>
      </c>
      <c r="E146" s="18">
        <v>-40</v>
      </c>
      <c r="F146" s="18">
        <v>-100</v>
      </c>
    </row>
    <row r="147" spans="1:6" s="14" customFormat="1" x14ac:dyDescent="0.25">
      <c r="A147" s="14">
        <v>14</v>
      </c>
      <c r="B147" s="13" t="s">
        <v>203</v>
      </c>
      <c r="C147" s="18">
        <v>-150</v>
      </c>
      <c r="D147" s="18">
        <v>-300</v>
      </c>
      <c r="E147" s="18">
        <v>-300</v>
      </c>
      <c r="F147" s="18">
        <v>-300</v>
      </c>
    </row>
    <row r="148" spans="1:6" s="14" customFormat="1" x14ac:dyDescent="0.25">
      <c r="B148" s="1" t="s">
        <v>98</v>
      </c>
      <c r="C148" s="16">
        <f>SUM(C138:C147)</f>
        <v>-1700</v>
      </c>
      <c r="D148" s="16">
        <f>SUM(D138:D147)</f>
        <v>-3630</v>
      </c>
      <c r="E148" s="16">
        <f>SUM(E138:E147)</f>
        <v>-5740</v>
      </c>
      <c r="F148" s="16">
        <f>SUM(F138:F147)</f>
        <v>-7490</v>
      </c>
    </row>
    <row r="149" spans="1:6" s="14" customFormat="1" ht="15.75" thickBot="1" x14ac:dyDescent="0.3">
      <c r="B149" s="10" t="s">
        <v>93</v>
      </c>
      <c r="C149" s="34">
        <f>C137+C148</f>
        <v>2078</v>
      </c>
      <c r="D149" s="11">
        <f>D137+D148</f>
        <v>148</v>
      </c>
      <c r="E149" s="11">
        <f>E137+E148</f>
        <v>-1962</v>
      </c>
      <c r="F149" s="11">
        <f>F137+F148</f>
        <v>-3712</v>
      </c>
    </row>
    <row r="150" spans="1:6" s="14" customFormat="1" ht="15.75" thickTop="1" x14ac:dyDescent="0.25"/>
    <row r="151" spans="1:6" s="14" customFormat="1" x14ac:dyDescent="0.25">
      <c r="B151" s="14" t="s">
        <v>204</v>
      </c>
    </row>
    <row r="152" spans="1:6" s="14" customFormat="1" x14ac:dyDescent="0.25">
      <c r="B152" s="30" t="s">
        <v>95</v>
      </c>
      <c r="C152" s="27" t="s">
        <v>3</v>
      </c>
      <c r="D152" s="27" t="s">
        <v>4</v>
      </c>
      <c r="E152" s="27" t="s">
        <v>5</v>
      </c>
      <c r="F152" s="27" t="s">
        <v>6</v>
      </c>
    </row>
    <row r="153" spans="1:6" s="14" customFormat="1" x14ac:dyDescent="0.25">
      <c r="A153" s="14">
        <v>1</v>
      </c>
      <c r="B153" s="14" t="s">
        <v>205</v>
      </c>
      <c r="C153" s="18">
        <v>782</v>
      </c>
      <c r="D153" s="18">
        <v>782</v>
      </c>
      <c r="E153" s="18">
        <v>782</v>
      </c>
      <c r="F153" s="18">
        <v>782</v>
      </c>
    </row>
    <row r="154" spans="1:6" s="14" customFormat="1" x14ac:dyDescent="0.25">
      <c r="A154" s="14">
        <v>2</v>
      </c>
      <c r="B154" s="14" t="s">
        <v>206</v>
      </c>
      <c r="C154" s="18">
        <v>100</v>
      </c>
      <c r="D154" s="18">
        <v>100</v>
      </c>
      <c r="E154" s="18">
        <v>100</v>
      </c>
      <c r="F154" s="18">
        <v>100</v>
      </c>
    </row>
    <row r="155" spans="1:6" x14ac:dyDescent="0.25">
      <c r="A155" s="14">
        <v>3</v>
      </c>
      <c r="B155" s="14" t="s">
        <v>207</v>
      </c>
      <c r="C155" s="18">
        <v>366</v>
      </c>
      <c r="D155" s="18">
        <v>366</v>
      </c>
      <c r="E155" s="18">
        <v>366</v>
      </c>
      <c r="F155" s="18">
        <v>366</v>
      </c>
    </row>
    <row r="156" spans="1:6" x14ac:dyDescent="0.25">
      <c r="A156" s="14">
        <v>4</v>
      </c>
      <c r="B156" s="14" t="s">
        <v>208</v>
      </c>
      <c r="C156" s="18">
        <v>500</v>
      </c>
      <c r="D156" s="18">
        <v>0</v>
      </c>
      <c r="E156" s="18">
        <v>0</v>
      </c>
      <c r="F156" s="18">
        <v>0</v>
      </c>
    </row>
    <row r="157" spans="1:6" x14ac:dyDescent="0.25">
      <c r="A157" s="14"/>
      <c r="B157" s="1" t="s">
        <v>97</v>
      </c>
      <c r="C157" s="16">
        <f>SUM(C153:C156)</f>
        <v>1748</v>
      </c>
      <c r="D157" s="16">
        <f>SUM(D153:D156)</f>
        <v>1248</v>
      </c>
      <c r="E157" s="16">
        <f>SUM(E153:E156)</f>
        <v>1248</v>
      </c>
      <c r="F157" s="16">
        <f>SUM(F153:F156)</f>
        <v>1248</v>
      </c>
    </row>
    <row r="158" spans="1:6" x14ac:dyDescent="0.25">
      <c r="A158" s="14">
        <v>5</v>
      </c>
      <c r="B158" s="13" t="s">
        <v>209</v>
      </c>
      <c r="C158" s="18">
        <v>-3000</v>
      </c>
      <c r="D158" s="18">
        <v>-3000</v>
      </c>
      <c r="E158" s="18">
        <v>-3000</v>
      </c>
      <c r="F158" s="18">
        <v>-3000</v>
      </c>
    </row>
    <row r="159" spans="1:6" x14ac:dyDescent="0.25">
      <c r="A159" s="14">
        <v>6</v>
      </c>
      <c r="B159" s="13" t="s">
        <v>210</v>
      </c>
      <c r="C159" s="18">
        <v>-1500</v>
      </c>
      <c r="D159" s="18">
        <v>-2300</v>
      </c>
      <c r="E159" s="18">
        <v>-3260</v>
      </c>
      <c r="F159" s="18">
        <v>-3985</v>
      </c>
    </row>
    <row r="160" spans="1:6" x14ac:dyDescent="0.25">
      <c r="A160" s="14">
        <v>7</v>
      </c>
      <c r="B160" s="13" t="s">
        <v>211</v>
      </c>
      <c r="C160" s="18">
        <v>-3400</v>
      </c>
      <c r="D160" s="18">
        <v>-3800</v>
      </c>
      <c r="E160" s="18">
        <v>-7300</v>
      </c>
      <c r="F160" s="18">
        <v>-8600</v>
      </c>
    </row>
    <row r="161" spans="1:6" x14ac:dyDescent="0.25">
      <c r="A161" s="14">
        <v>8</v>
      </c>
      <c r="B161" s="13" t="s">
        <v>212</v>
      </c>
      <c r="C161" s="18">
        <v>0</v>
      </c>
      <c r="D161" s="18">
        <v>0</v>
      </c>
      <c r="E161" s="18">
        <v>0</v>
      </c>
      <c r="F161" s="18">
        <v>-2100</v>
      </c>
    </row>
    <row r="162" spans="1:6" x14ac:dyDescent="0.25">
      <c r="A162" s="14">
        <v>9</v>
      </c>
      <c r="B162" s="13" t="s">
        <v>213</v>
      </c>
      <c r="C162" s="18">
        <v>0</v>
      </c>
      <c r="D162" s="18">
        <v>0</v>
      </c>
      <c r="E162" s="18">
        <v>0</v>
      </c>
      <c r="F162" s="18">
        <v>0</v>
      </c>
    </row>
    <row r="163" spans="1:6" x14ac:dyDescent="0.25">
      <c r="A163" s="14"/>
      <c r="B163" s="1" t="s">
        <v>98</v>
      </c>
      <c r="C163" s="16">
        <f>SUM(C158:C162)</f>
        <v>-7900</v>
      </c>
      <c r="D163" s="16">
        <f>SUM(D158:D162)</f>
        <v>-9100</v>
      </c>
      <c r="E163" s="16">
        <f>SUM(E158:E162)</f>
        <v>-13560</v>
      </c>
      <c r="F163" s="16">
        <f>SUM(F158:F162)</f>
        <v>-17685</v>
      </c>
    </row>
    <row r="164" spans="1:6" ht="15.75" thickBot="1" x14ac:dyDescent="0.3">
      <c r="A164" s="14"/>
      <c r="B164" s="10" t="s">
        <v>93</v>
      </c>
      <c r="C164" s="34">
        <f>C157+C163</f>
        <v>-6152</v>
      </c>
      <c r="D164" s="11">
        <f>D157+D163</f>
        <v>-7852</v>
      </c>
      <c r="E164" s="11">
        <f>E157+E163</f>
        <v>-12312</v>
      </c>
      <c r="F164" s="11">
        <f>F157+F163</f>
        <v>-16437</v>
      </c>
    </row>
    <row r="165" spans="1:6" ht="15.75" thickTop="1" x14ac:dyDescent="0.25">
      <c r="A165" s="14"/>
      <c r="B165" s="14"/>
      <c r="C165" s="14"/>
      <c r="D165" s="14"/>
      <c r="E165" s="14"/>
      <c r="F165" s="14"/>
    </row>
    <row r="166" spans="1:6" x14ac:dyDescent="0.25">
      <c r="A166" s="14"/>
      <c r="B166" s="14"/>
      <c r="C166" s="14"/>
      <c r="D166" s="14"/>
      <c r="E166" s="14"/>
      <c r="F166" s="14"/>
    </row>
    <row r="167" spans="1:6" x14ac:dyDescent="0.25">
      <c r="A167" s="14"/>
      <c r="B167" s="14"/>
      <c r="C167" s="14"/>
      <c r="D167" s="14"/>
      <c r="E167" s="14"/>
      <c r="F167" s="14"/>
    </row>
    <row r="168" spans="1:6" x14ac:dyDescent="0.25">
      <c r="A168" s="14"/>
      <c r="B168" s="14"/>
      <c r="C168" s="14"/>
      <c r="D168" s="14"/>
      <c r="E168" s="14"/>
      <c r="F168" s="14"/>
    </row>
    <row r="169" spans="1:6" x14ac:dyDescent="0.25">
      <c r="A169" s="14"/>
      <c r="B169" s="14"/>
      <c r="C169" s="14"/>
      <c r="D169" s="14"/>
      <c r="E169" s="14"/>
      <c r="F169" s="14"/>
    </row>
    <row r="170" spans="1:6" x14ac:dyDescent="0.25">
      <c r="A170" s="14"/>
      <c r="B170" s="14"/>
      <c r="C170" s="14"/>
      <c r="D170" s="14"/>
      <c r="E170" s="14"/>
      <c r="F170" s="14"/>
    </row>
    <row r="171" spans="1:6" x14ac:dyDescent="0.25">
      <c r="A171" s="14"/>
      <c r="B171" s="14"/>
      <c r="C171" s="14"/>
      <c r="D171" s="14"/>
      <c r="E171" s="14"/>
      <c r="F171" s="14"/>
    </row>
    <row r="172" spans="1:6" x14ac:dyDescent="0.25">
      <c r="A172" s="14"/>
      <c r="B172" s="14"/>
      <c r="C172" s="14"/>
      <c r="D172" s="14"/>
      <c r="E172" s="14"/>
      <c r="F172" s="14"/>
    </row>
    <row r="173" spans="1:6" s="14" customFormat="1" x14ac:dyDescent="0.25"/>
    <row r="174" spans="1:6" s="14" customFormat="1" x14ac:dyDescent="0.25"/>
    <row r="175" spans="1:6" x14ac:dyDescent="0.25">
      <c r="A175" s="14"/>
      <c r="B175" s="14"/>
      <c r="C175" s="14"/>
      <c r="D175" s="14"/>
      <c r="E175" s="14"/>
      <c r="F175" s="14"/>
    </row>
    <row r="176" spans="1:6" x14ac:dyDescent="0.25">
      <c r="A176" s="14"/>
      <c r="B176" s="14"/>
      <c r="C176" s="14"/>
      <c r="D176" s="14"/>
      <c r="E176" s="14"/>
      <c r="F176" s="14"/>
    </row>
    <row r="177" spans="1:6" x14ac:dyDescent="0.25">
      <c r="A177" s="14"/>
      <c r="B177" s="14"/>
      <c r="C177" s="14"/>
      <c r="D177" s="14"/>
      <c r="E177" s="14"/>
      <c r="F177" s="14"/>
    </row>
    <row r="178" spans="1:6" x14ac:dyDescent="0.25">
      <c r="A178" s="14"/>
      <c r="B178" s="14"/>
      <c r="C178" s="14"/>
      <c r="D178" s="14"/>
      <c r="E178" s="14"/>
      <c r="F178" s="14"/>
    </row>
    <row r="179" spans="1:6" x14ac:dyDescent="0.25">
      <c r="A179" s="14"/>
      <c r="B179" s="14"/>
      <c r="C179" s="14"/>
      <c r="D179" s="14"/>
      <c r="E179" s="14"/>
      <c r="F179" s="14"/>
    </row>
    <row r="180" spans="1:6" x14ac:dyDescent="0.25">
      <c r="A180" s="14"/>
      <c r="B180" s="14"/>
      <c r="C180" s="14"/>
      <c r="D180" s="14"/>
      <c r="E180" s="14"/>
      <c r="F180" s="14"/>
    </row>
    <row r="181" spans="1:6" x14ac:dyDescent="0.25">
      <c r="A181" s="14"/>
      <c r="B181" s="14"/>
      <c r="C181" s="14"/>
      <c r="D181" s="14"/>
      <c r="E181" s="14"/>
      <c r="F181" s="14"/>
    </row>
    <row r="182" spans="1:6" x14ac:dyDescent="0.25">
      <c r="A182" s="14"/>
      <c r="B182" s="14"/>
      <c r="C182" s="14"/>
      <c r="D182" s="14"/>
      <c r="E182" s="14"/>
      <c r="F182" s="14"/>
    </row>
    <row r="183" spans="1:6" x14ac:dyDescent="0.25">
      <c r="A183" s="14"/>
      <c r="B183" s="14"/>
      <c r="C183" s="14"/>
      <c r="D183" s="14"/>
      <c r="E183" s="14"/>
      <c r="F183" s="14"/>
    </row>
    <row r="184" spans="1:6" x14ac:dyDescent="0.25">
      <c r="A184" s="14"/>
      <c r="B184" s="14"/>
      <c r="C184" s="14"/>
      <c r="D184" s="14"/>
      <c r="E184" s="14"/>
      <c r="F184" s="14"/>
    </row>
    <row r="185" spans="1:6" x14ac:dyDescent="0.25">
      <c r="A185" s="14"/>
      <c r="B185" s="14"/>
      <c r="C185" s="14"/>
      <c r="D185" s="14"/>
      <c r="E185" s="14"/>
      <c r="F185" s="14"/>
    </row>
    <row r="186" spans="1:6" x14ac:dyDescent="0.25">
      <c r="A186" s="14"/>
      <c r="B186" s="14"/>
      <c r="C186" s="14"/>
      <c r="D186" s="14"/>
      <c r="E186" s="14"/>
      <c r="F186" s="14"/>
    </row>
    <row r="187" spans="1:6" x14ac:dyDescent="0.25">
      <c r="A187" s="14"/>
      <c r="B187" s="14"/>
      <c r="C187" s="14"/>
      <c r="D187" s="14"/>
      <c r="E187" s="14"/>
      <c r="F187" s="14"/>
    </row>
    <row r="188" spans="1:6" x14ac:dyDescent="0.25">
      <c r="A188" s="14"/>
      <c r="B188" s="14"/>
      <c r="C188" s="14"/>
      <c r="D188" s="14"/>
      <c r="E188" s="14"/>
      <c r="F188" s="14"/>
    </row>
  </sheetData>
  <pageMargins left="0.7" right="0.7" top="0.75" bottom="0.75" header="0.3" footer="0.3"/>
  <pageSetup paperSize="9" scale="76" fitToHeight="0" orientation="portrait" r:id="rId1"/>
  <ignoredErrors>
    <ignoredError sqref="C79:F79 C17:F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workbookViewId="0">
      <selection activeCell="Q23" sqref="Q23"/>
    </sheetView>
  </sheetViews>
  <sheetFormatPr baseColWidth="10" defaultRowHeight="15" x14ac:dyDescent="0.25"/>
  <cols>
    <col min="1" max="1" width="6.28515625" customWidth="1"/>
    <col min="2" max="2" width="30" customWidth="1"/>
    <col min="3" max="3" width="8.28515625" customWidth="1"/>
    <col min="4" max="4" width="9.42578125" customWidth="1"/>
    <col min="5" max="5" width="11.85546875" customWidth="1"/>
    <col min="6" max="6" width="11.28515625" customWidth="1"/>
    <col min="7" max="10" width="11" customWidth="1"/>
  </cols>
  <sheetData>
    <row r="1" spans="1:11" x14ac:dyDescent="0.25">
      <c r="A1" s="72"/>
      <c r="B1" s="72"/>
      <c r="C1" s="73" t="s">
        <v>409</v>
      </c>
      <c r="D1" s="73" t="s">
        <v>410</v>
      </c>
      <c r="E1" s="112" t="s">
        <v>411</v>
      </c>
      <c r="F1" s="113"/>
      <c r="G1" s="74" t="s">
        <v>412</v>
      </c>
      <c r="H1" s="73" t="s">
        <v>412</v>
      </c>
      <c r="I1" s="73" t="s">
        <v>412</v>
      </c>
      <c r="J1" s="73" t="s">
        <v>412</v>
      </c>
      <c r="K1" s="73" t="s">
        <v>316</v>
      </c>
    </row>
    <row r="2" spans="1:11" x14ac:dyDescent="0.25">
      <c r="A2" s="75" t="s">
        <v>413</v>
      </c>
      <c r="B2" s="76" t="s">
        <v>414</v>
      </c>
      <c r="C2" s="75"/>
      <c r="D2" s="75" t="s">
        <v>415</v>
      </c>
      <c r="E2" s="77" t="s">
        <v>408</v>
      </c>
      <c r="F2" s="77" t="s">
        <v>416</v>
      </c>
      <c r="G2" s="78">
        <v>2020</v>
      </c>
      <c r="H2" s="75">
        <v>2021</v>
      </c>
      <c r="I2" s="75">
        <v>2022</v>
      </c>
      <c r="J2" s="75">
        <v>2023</v>
      </c>
      <c r="K2" s="75"/>
    </row>
    <row r="3" spans="1:11" x14ac:dyDescent="0.25">
      <c r="A3" s="79" t="s">
        <v>417</v>
      </c>
      <c r="B3" s="80" t="s">
        <v>380</v>
      </c>
      <c r="C3" s="81" t="s">
        <v>317</v>
      </c>
      <c r="D3" s="81" t="s">
        <v>418</v>
      </c>
      <c r="E3" s="82">
        <v>17000</v>
      </c>
      <c r="F3" s="82">
        <v>5000</v>
      </c>
      <c r="G3" s="83">
        <v>3000</v>
      </c>
      <c r="H3" s="83">
        <v>3000</v>
      </c>
      <c r="I3" s="83">
        <v>3000</v>
      </c>
      <c r="J3" s="83">
        <v>3000</v>
      </c>
      <c r="K3" s="83">
        <v>0</v>
      </c>
    </row>
    <row r="4" spans="1:11" x14ac:dyDescent="0.25">
      <c r="A4" s="84" t="s">
        <v>419</v>
      </c>
      <c r="B4" s="85" t="s">
        <v>420</v>
      </c>
      <c r="C4" s="81"/>
      <c r="D4" s="81">
        <v>2020</v>
      </c>
      <c r="E4" s="82">
        <v>750</v>
      </c>
      <c r="F4" s="82">
        <v>0</v>
      </c>
      <c r="G4" s="83">
        <v>750</v>
      </c>
      <c r="H4" s="83">
        <v>0</v>
      </c>
      <c r="I4" s="83">
        <v>0</v>
      </c>
      <c r="J4" s="83">
        <v>0</v>
      </c>
      <c r="K4" s="83">
        <v>0</v>
      </c>
    </row>
    <row r="5" spans="1:11" x14ac:dyDescent="0.25">
      <c r="A5" s="86"/>
      <c r="B5" s="87" t="s">
        <v>421</v>
      </c>
      <c r="C5" s="87"/>
      <c r="D5" s="88"/>
      <c r="E5" s="89"/>
      <c r="F5" s="89"/>
      <c r="G5" s="115">
        <v>3750</v>
      </c>
      <c r="H5" s="115">
        <f>SUM(H3:H3)</f>
        <v>3000</v>
      </c>
      <c r="I5" s="115">
        <f>SUM(I3:I3)</f>
        <v>3000</v>
      </c>
      <c r="J5" s="115">
        <f>SUM(J3:J3)</f>
        <v>3000</v>
      </c>
      <c r="K5" s="115">
        <f>SUM(K3:K3)</f>
        <v>0</v>
      </c>
    </row>
    <row r="6" spans="1:1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x14ac:dyDescent="0.25">
      <c r="A8" s="72"/>
      <c r="B8" s="72"/>
      <c r="C8" s="73" t="s">
        <v>409</v>
      </c>
      <c r="D8" s="73" t="s">
        <v>410</v>
      </c>
      <c r="E8" s="112" t="s">
        <v>411</v>
      </c>
      <c r="F8" s="113"/>
      <c r="G8" s="74" t="s">
        <v>412</v>
      </c>
      <c r="H8" s="73" t="s">
        <v>412</v>
      </c>
      <c r="I8" s="73" t="s">
        <v>412</v>
      </c>
      <c r="J8" s="73" t="s">
        <v>412</v>
      </c>
      <c r="K8" s="73" t="s">
        <v>316</v>
      </c>
    </row>
    <row r="9" spans="1:11" x14ac:dyDescent="0.25">
      <c r="A9" s="91" t="s">
        <v>413</v>
      </c>
      <c r="B9" s="76" t="s">
        <v>29</v>
      </c>
      <c r="C9" s="75"/>
      <c r="D9" s="75" t="s">
        <v>415</v>
      </c>
      <c r="E9" s="77" t="s">
        <v>408</v>
      </c>
      <c r="F9" s="77" t="s">
        <v>416</v>
      </c>
      <c r="G9" s="78">
        <v>2020</v>
      </c>
      <c r="H9" s="75">
        <v>2021</v>
      </c>
      <c r="I9" s="75">
        <v>2022</v>
      </c>
      <c r="J9" s="75">
        <v>2023</v>
      </c>
      <c r="K9" s="75"/>
    </row>
    <row r="10" spans="1:11" x14ac:dyDescent="0.25">
      <c r="A10" s="92" t="s">
        <v>422</v>
      </c>
      <c r="B10" s="93" t="s">
        <v>375</v>
      </c>
      <c r="C10" s="81" t="s">
        <v>319</v>
      </c>
      <c r="D10" s="81">
        <v>2020</v>
      </c>
      <c r="E10" s="82">
        <v>13600</v>
      </c>
      <c r="F10" s="82">
        <v>12500</v>
      </c>
      <c r="G10" s="83">
        <v>1100</v>
      </c>
      <c r="H10" s="83">
        <v>0</v>
      </c>
      <c r="I10" s="83">
        <v>0</v>
      </c>
      <c r="J10" s="83">
        <v>0</v>
      </c>
      <c r="K10" s="83">
        <v>0</v>
      </c>
    </row>
    <row r="11" spans="1:11" x14ac:dyDescent="0.25">
      <c r="A11" s="94" t="s">
        <v>423</v>
      </c>
      <c r="B11" s="95" t="s">
        <v>376</v>
      </c>
      <c r="C11" s="81" t="s">
        <v>319</v>
      </c>
      <c r="D11" s="81">
        <v>2020</v>
      </c>
      <c r="E11" s="82">
        <v>8000</v>
      </c>
      <c r="F11" s="82">
        <v>0</v>
      </c>
      <c r="G11" s="83">
        <v>8000</v>
      </c>
      <c r="H11" s="83">
        <v>0</v>
      </c>
      <c r="I11" s="83">
        <v>0</v>
      </c>
      <c r="J11" s="83">
        <v>0</v>
      </c>
      <c r="K11" s="83">
        <v>0</v>
      </c>
    </row>
    <row r="12" spans="1:11" x14ac:dyDescent="0.25">
      <c r="A12" s="94" t="s">
        <v>424</v>
      </c>
      <c r="B12" s="96" t="s">
        <v>377</v>
      </c>
      <c r="C12" s="81" t="s">
        <v>319</v>
      </c>
      <c r="D12" s="81" t="s">
        <v>418</v>
      </c>
      <c r="E12" s="82">
        <v>25000</v>
      </c>
      <c r="F12" s="82">
        <v>5000</v>
      </c>
      <c r="G12" s="83">
        <v>5000</v>
      </c>
      <c r="H12" s="83">
        <v>5000</v>
      </c>
      <c r="I12" s="83">
        <v>5000</v>
      </c>
      <c r="J12" s="83">
        <v>5000</v>
      </c>
      <c r="K12" s="83">
        <v>0</v>
      </c>
    </row>
    <row r="13" spans="1:11" x14ac:dyDescent="0.25">
      <c r="A13" s="97"/>
      <c r="B13" s="98" t="s">
        <v>425</v>
      </c>
      <c r="C13" s="87"/>
      <c r="D13" s="88"/>
      <c r="E13" s="89"/>
      <c r="F13" s="89"/>
      <c r="G13" s="115">
        <f>SUM(G10:G12)</f>
        <v>14100</v>
      </c>
      <c r="H13" s="115">
        <f>SUM(H10:H12)</f>
        <v>5000</v>
      </c>
      <c r="I13" s="115">
        <f>SUM(I10:I12)</f>
        <v>5000</v>
      </c>
      <c r="J13" s="115">
        <f>SUM(J10:J12)</f>
        <v>5000</v>
      </c>
      <c r="K13" s="115">
        <f>SUM(K10:K12)</f>
        <v>0</v>
      </c>
    </row>
    <row r="14" spans="1:1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x14ac:dyDescent="0.25">
      <c r="A16" s="72"/>
      <c r="B16" s="72"/>
      <c r="C16" s="73" t="s">
        <v>409</v>
      </c>
      <c r="D16" s="73" t="s">
        <v>410</v>
      </c>
      <c r="E16" s="112" t="s">
        <v>411</v>
      </c>
      <c r="F16" s="113"/>
      <c r="G16" s="74" t="s">
        <v>412</v>
      </c>
      <c r="H16" s="73" t="s">
        <v>412</v>
      </c>
      <c r="I16" s="73" t="s">
        <v>412</v>
      </c>
      <c r="J16" s="73" t="s">
        <v>412</v>
      </c>
      <c r="K16" s="73" t="s">
        <v>316</v>
      </c>
    </row>
    <row r="17" spans="1:11" x14ac:dyDescent="0.25">
      <c r="A17" s="91" t="s">
        <v>413</v>
      </c>
      <c r="B17" s="76" t="s">
        <v>29</v>
      </c>
      <c r="C17" s="75"/>
      <c r="D17" s="75" t="s">
        <v>415</v>
      </c>
      <c r="E17" s="77" t="s">
        <v>408</v>
      </c>
      <c r="F17" s="77" t="s">
        <v>416</v>
      </c>
      <c r="G17" s="78">
        <v>2020</v>
      </c>
      <c r="H17" s="75">
        <v>2021</v>
      </c>
      <c r="I17" s="75">
        <v>2022</v>
      </c>
      <c r="J17" s="75">
        <v>2023</v>
      </c>
      <c r="K17" s="75"/>
    </row>
    <row r="18" spans="1:11" x14ac:dyDescent="0.25">
      <c r="A18" s="79" t="s">
        <v>426</v>
      </c>
      <c r="B18" s="99" t="s">
        <v>379</v>
      </c>
      <c r="C18" s="81" t="s">
        <v>317</v>
      </c>
      <c r="D18" s="81">
        <v>2020</v>
      </c>
      <c r="E18" s="83">
        <v>2000</v>
      </c>
      <c r="F18" s="83">
        <v>1500</v>
      </c>
      <c r="G18" s="83">
        <v>500</v>
      </c>
      <c r="H18" s="83">
        <v>0</v>
      </c>
      <c r="I18" s="83">
        <v>0</v>
      </c>
      <c r="J18" s="83">
        <v>0</v>
      </c>
      <c r="K18" s="83">
        <v>0</v>
      </c>
    </row>
    <row r="19" spans="1:11" x14ac:dyDescent="0.25">
      <c r="A19" s="100" t="s">
        <v>427</v>
      </c>
      <c r="B19" s="101" t="s">
        <v>378</v>
      </c>
      <c r="C19" s="81" t="s">
        <v>317</v>
      </c>
      <c r="D19" s="81" t="s">
        <v>418</v>
      </c>
      <c r="E19" s="82">
        <v>28000</v>
      </c>
      <c r="F19" s="82">
        <v>14000</v>
      </c>
      <c r="G19" s="83">
        <v>3500</v>
      </c>
      <c r="H19" s="83">
        <v>3500</v>
      </c>
      <c r="I19" s="83">
        <v>3500</v>
      </c>
      <c r="J19" s="83">
        <v>3500</v>
      </c>
      <c r="K19" s="83">
        <v>0</v>
      </c>
    </row>
    <row r="20" spans="1:11" x14ac:dyDescent="0.25">
      <c r="A20" s="100" t="s">
        <v>428</v>
      </c>
      <c r="B20" s="101" t="s">
        <v>225</v>
      </c>
      <c r="C20" s="81" t="s">
        <v>317</v>
      </c>
      <c r="D20" s="81">
        <v>2021</v>
      </c>
      <c r="E20" s="82">
        <v>8500</v>
      </c>
      <c r="F20" s="82">
        <v>5500</v>
      </c>
      <c r="G20" s="83">
        <v>2000</v>
      </c>
      <c r="H20" s="83">
        <v>1000</v>
      </c>
      <c r="I20" s="83">
        <v>0</v>
      </c>
      <c r="J20" s="83">
        <v>0</v>
      </c>
      <c r="K20" s="83">
        <v>450</v>
      </c>
    </row>
    <row r="21" spans="1:11" x14ac:dyDescent="0.25">
      <c r="A21" s="84" t="s">
        <v>429</v>
      </c>
      <c r="B21" s="101" t="s">
        <v>224</v>
      </c>
      <c r="C21" s="81" t="s">
        <v>317</v>
      </c>
      <c r="D21" s="81">
        <v>2021</v>
      </c>
      <c r="E21" s="82">
        <v>5500</v>
      </c>
      <c r="F21" s="82">
        <v>2500</v>
      </c>
      <c r="G21" s="83">
        <v>2000</v>
      </c>
      <c r="H21" s="83">
        <v>1000</v>
      </c>
      <c r="I21" s="83">
        <v>0</v>
      </c>
      <c r="J21" s="83">
        <v>0</v>
      </c>
      <c r="K21" s="83">
        <v>0</v>
      </c>
    </row>
    <row r="22" spans="1:11" x14ac:dyDescent="0.25">
      <c r="A22" s="102"/>
      <c r="B22" s="87" t="s">
        <v>430</v>
      </c>
      <c r="C22" s="97"/>
      <c r="D22" s="97"/>
      <c r="E22" s="90"/>
      <c r="F22" s="90"/>
      <c r="G22" s="115">
        <f>SUM(G18:G21)</f>
        <v>8000</v>
      </c>
      <c r="H22" s="115">
        <f t="shared" ref="H22:J22" si="0">SUM(H18:H21)</f>
        <v>5500</v>
      </c>
      <c r="I22" s="115">
        <f t="shared" si="0"/>
        <v>3500</v>
      </c>
      <c r="J22" s="115">
        <f t="shared" si="0"/>
        <v>3500</v>
      </c>
      <c r="K22" s="115">
        <f>SUM(K18:K21)</f>
        <v>450</v>
      </c>
    </row>
    <row r="23" spans="1:1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x14ac:dyDescent="0.25">
      <c r="A25" s="72"/>
      <c r="B25" s="72"/>
      <c r="C25" s="73" t="s">
        <v>409</v>
      </c>
      <c r="D25" s="73" t="s">
        <v>410</v>
      </c>
      <c r="E25" s="112" t="s">
        <v>411</v>
      </c>
      <c r="F25" s="113"/>
      <c r="G25" s="74" t="s">
        <v>412</v>
      </c>
      <c r="H25" s="73" t="s">
        <v>412</v>
      </c>
      <c r="I25" s="73" t="s">
        <v>412</v>
      </c>
      <c r="J25" s="73" t="s">
        <v>412</v>
      </c>
      <c r="K25" s="73" t="s">
        <v>316</v>
      </c>
    </row>
    <row r="26" spans="1:11" x14ac:dyDescent="0.25">
      <c r="A26" s="75" t="s">
        <v>413</v>
      </c>
      <c r="B26" s="76" t="s">
        <v>29</v>
      </c>
      <c r="C26" s="75"/>
      <c r="D26" s="75" t="s">
        <v>415</v>
      </c>
      <c r="E26" s="77" t="s">
        <v>408</v>
      </c>
      <c r="F26" s="77" t="s">
        <v>416</v>
      </c>
      <c r="G26" s="78">
        <v>2020</v>
      </c>
      <c r="H26" s="75">
        <v>2021</v>
      </c>
      <c r="I26" s="75">
        <v>2022</v>
      </c>
      <c r="J26" s="75">
        <v>2023</v>
      </c>
      <c r="K26" s="75"/>
    </row>
    <row r="27" spans="1:11" x14ac:dyDescent="0.25">
      <c r="A27" s="94" t="s">
        <v>431</v>
      </c>
      <c r="B27" s="103" t="s">
        <v>381</v>
      </c>
      <c r="C27" s="81" t="s">
        <v>319</v>
      </c>
      <c r="D27" s="81">
        <v>2020</v>
      </c>
      <c r="E27" s="82">
        <v>33000</v>
      </c>
      <c r="F27" s="82">
        <v>10000</v>
      </c>
      <c r="G27" s="83">
        <v>23000</v>
      </c>
      <c r="H27" s="83">
        <v>0</v>
      </c>
      <c r="I27" s="83">
        <v>0</v>
      </c>
      <c r="J27" s="83">
        <v>0</v>
      </c>
      <c r="K27" s="83">
        <v>0</v>
      </c>
    </row>
    <row r="28" spans="1:11" x14ac:dyDescent="0.25">
      <c r="A28" s="97"/>
      <c r="B28" s="98" t="s">
        <v>432</v>
      </c>
      <c r="C28" s="87"/>
      <c r="D28" s="88"/>
      <c r="E28" s="89"/>
      <c r="F28" s="89"/>
      <c r="G28" s="115">
        <v>23000</v>
      </c>
      <c r="H28" s="115">
        <v>0</v>
      </c>
      <c r="I28" s="115">
        <v>0</v>
      </c>
      <c r="J28" s="115">
        <v>0</v>
      </c>
      <c r="K28" s="115">
        <v>0</v>
      </c>
    </row>
    <row r="29" spans="1:1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x14ac:dyDescent="0.25">
      <c r="A31" s="72"/>
      <c r="B31" s="72"/>
      <c r="C31" s="73" t="s">
        <v>409</v>
      </c>
      <c r="D31" s="73" t="s">
        <v>410</v>
      </c>
      <c r="E31" s="112" t="s">
        <v>411</v>
      </c>
      <c r="F31" s="113"/>
      <c r="G31" s="74" t="s">
        <v>412</v>
      </c>
      <c r="H31" s="73" t="s">
        <v>412</v>
      </c>
      <c r="I31" s="73" t="s">
        <v>412</v>
      </c>
      <c r="J31" s="73" t="s">
        <v>412</v>
      </c>
      <c r="K31" s="73" t="s">
        <v>316</v>
      </c>
    </row>
    <row r="32" spans="1:11" x14ac:dyDescent="0.25">
      <c r="A32" s="75" t="s">
        <v>413</v>
      </c>
      <c r="B32" s="76" t="s">
        <v>29</v>
      </c>
      <c r="C32" s="75"/>
      <c r="D32" s="75" t="s">
        <v>415</v>
      </c>
      <c r="E32" s="77" t="s">
        <v>408</v>
      </c>
      <c r="F32" s="77" t="s">
        <v>416</v>
      </c>
      <c r="G32" s="78">
        <v>2020</v>
      </c>
      <c r="H32" s="75">
        <v>2021</v>
      </c>
      <c r="I32" s="75">
        <v>2022</v>
      </c>
      <c r="J32" s="75">
        <v>2023</v>
      </c>
      <c r="K32" s="75"/>
    </row>
    <row r="33" spans="1:11" x14ac:dyDescent="0.25">
      <c r="A33" s="100" t="s">
        <v>433</v>
      </c>
      <c r="B33" s="104" t="s">
        <v>318</v>
      </c>
      <c r="C33" s="81" t="s">
        <v>317</v>
      </c>
      <c r="D33" s="81" t="s">
        <v>418</v>
      </c>
      <c r="E33" s="82">
        <v>88163</v>
      </c>
      <c r="F33" s="82">
        <v>48163</v>
      </c>
      <c r="G33" s="83">
        <v>9000</v>
      </c>
      <c r="H33" s="83">
        <v>10000</v>
      </c>
      <c r="I33" s="83">
        <v>10000</v>
      </c>
      <c r="J33" s="83">
        <v>11000</v>
      </c>
      <c r="K33" s="83">
        <v>0</v>
      </c>
    </row>
    <row r="34" spans="1:11" x14ac:dyDescent="0.25">
      <c r="A34" s="100" t="s">
        <v>434</v>
      </c>
      <c r="B34" s="95" t="s">
        <v>320</v>
      </c>
      <c r="C34" s="81" t="s">
        <v>317</v>
      </c>
      <c r="D34" s="81">
        <v>2022</v>
      </c>
      <c r="E34" s="82">
        <v>473000</v>
      </c>
      <c r="F34" s="82">
        <v>146500</v>
      </c>
      <c r="G34" s="83">
        <v>245000</v>
      </c>
      <c r="H34" s="83">
        <v>81500</v>
      </c>
      <c r="I34" s="83">
        <v>0</v>
      </c>
      <c r="J34" s="83">
        <v>0</v>
      </c>
      <c r="K34" s="83">
        <f>600+815+4995</f>
        <v>6410</v>
      </c>
    </row>
    <row r="35" spans="1:11" x14ac:dyDescent="0.25">
      <c r="A35" s="100" t="s">
        <v>435</v>
      </c>
      <c r="B35" s="95" t="s">
        <v>321</v>
      </c>
      <c r="C35" s="81" t="s">
        <v>317</v>
      </c>
      <c r="D35" s="81" t="s">
        <v>418</v>
      </c>
      <c r="E35" s="82">
        <v>21000</v>
      </c>
      <c r="F35" s="82">
        <v>6000</v>
      </c>
      <c r="G35" s="83">
        <v>3000</v>
      </c>
      <c r="H35" s="83">
        <v>4000</v>
      </c>
      <c r="I35" s="83">
        <v>4000</v>
      </c>
      <c r="J35" s="83">
        <v>4000</v>
      </c>
      <c r="K35" s="83">
        <v>0</v>
      </c>
    </row>
    <row r="36" spans="1:11" x14ac:dyDescent="0.25">
      <c r="A36" s="100" t="s">
        <v>436</v>
      </c>
      <c r="B36" s="95" t="s">
        <v>322</v>
      </c>
      <c r="C36" s="81" t="s">
        <v>317</v>
      </c>
      <c r="D36" s="81">
        <v>2020</v>
      </c>
      <c r="E36" s="82">
        <v>403000</v>
      </c>
      <c r="F36" s="82">
        <v>261000</v>
      </c>
      <c r="G36" s="83">
        <v>142000</v>
      </c>
      <c r="H36" s="83">
        <v>0</v>
      </c>
      <c r="I36" s="83">
        <v>0</v>
      </c>
      <c r="J36" s="83">
        <v>0</v>
      </c>
      <c r="K36" s="83">
        <f>500+5554</f>
        <v>6054</v>
      </c>
    </row>
    <row r="37" spans="1:11" x14ac:dyDescent="0.25">
      <c r="A37" s="100" t="s">
        <v>437</v>
      </c>
      <c r="B37" s="95" t="s">
        <v>323</v>
      </c>
      <c r="C37" s="81" t="s">
        <v>317</v>
      </c>
      <c r="D37" s="81"/>
      <c r="E37" s="82">
        <v>1000</v>
      </c>
      <c r="F37" s="82">
        <v>0</v>
      </c>
      <c r="G37" s="83">
        <v>0</v>
      </c>
      <c r="H37" s="83">
        <v>0</v>
      </c>
      <c r="I37" s="83">
        <v>0</v>
      </c>
      <c r="J37" s="83">
        <v>1000</v>
      </c>
      <c r="K37" s="83">
        <v>0</v>
      </c>
    </row>
    <row r="38" spans="1:11" x14ac:dyDescent="0.25">
      <c r="A38" s="100" t="s">
        <v>438</v>
      </c>
      <c r="B38" s="95" t="s">
        <v>324</v>
      </c>
      <c r="C38" s="81" t="s">
        <v>317</v>
      </c>
      <c r="D38" s="81">
        <v>2023</v>
      </c>
      <c r="E38" s="82">
        <v>22000</v>
      </c>
      <c r="F38" s="82">
        <v>6000</v>
      </c>
      <c r="G38" s="83">
        <v>4000</v>
      </c>
      <c r="H38" s="83">
        <v>4000</v>
      </c>
      <c r="I38" s="83">
        <v>4000</v>
      </c>
      <c r="J38" s="83">
        <v>4000</v>
      </c>
      <c r="K38" s="83">
        <v>0</v>
      </c>
    </row>
    <row r="39" spans="1:11" x14ac:dyDescent="0.25">
      <c r="A39" s="100" t="s">
        <v>439</v>
      </c>
      <c r="B39" s="95" t="s">
        <v>325</v>
      </c>
      <c r="C39" s="81" t="s">
        <v>317</v>
      </c>
      <c r="D39" s="81"/>
      <c r="E39" s="82">
        <v>1000</v>
      </c>
      <c r="F39" s="82">
        <v>0</v>
      </c>
      <c r="G39" s="83">
        <v>0</v>
      </c>
      <c r="H39" s="83">
        <v>0</v>
      </c>
      <c r="I39" s="83">
        <v>0</v>
      </c>
      <c r="J39" s="83">
        <v>1000</v>
      </c>
      <c r="K39" s="83">
        <v>0</v>
      </c>
    </row>
    <row r="40" spans="1:11" x14ac:dyDescent="0.25">
      <c r="A40" s="100" t="s">
        <v>440</v>
      </c>
      <c r="B40" s="95" t="s">
        <v>326</v>
      </c>
      <c r="C40" s="81" t="s">
        <v>319</v>
      </c>
      <c r="D40" s="81">
        <v>2020</v>
      </c>
      <c r="E40" s="82">
        <v>13500</v>
      </c>
      <c r="F40" s="82">
        <v>0</v>
      </c>
      <c r="G40" s="83">
        <v>13500</v>
      </c>
      <c r="H40" s="83">
        <v>0</v>
      </c>
      <c r="I40" s="83">
        <v>0</v>
      </c>
      <c r="J40" s="83">
        <v>0</v>
      </c>
      <c r="K40" s="83">
        <v>0</v>
      </c>
    </row>
    <row r="41" spans="1:11" x14ac:dyDescent="0.25">
      <c r="A41" s="100" t="s">
        <v>441</v>
      </c>
      <c r="B41" s="95" t="s">
        <v>327</v>
      </c>
      <c r="C41" s="81" t="s">
        <v>317</v>
      </c>
      <c r="D41" s="81">
        <v>2020</v>
      </c>
      <c r="E41" s="82">
        <v>2300</v>
      </c>
      <c r="F41" s="82">
        <v>0</v>
      </c>
      <c r="G41" s="83">
        <v>2300</v>
      </c>
      <c r="H41" s="83">
        <v>0</v>
      </c>
      <c r="I41" s="83">
        <v>0</v>
      </c>
      <c r="J41" s="83">
        <v>0</v>
      </c>
      <c r="K41" s="83">
        <v>0</v>
      </c>
    </row>
    <row r="42" spans="1:11" x14ac:dyDescent="0.25">
      <c r="A42" s="100" t="s">
        <v>442</v>
      </c>
      <c r="B42" s="95" t="s">
        <v>328</v>
      </c>
      <c r="C42" s="81" t="s">
        <v>317</v>
      </c>
      <c r="D42" s="81">
        <v>2020</v>
      </c>
      <c r="E42" s="82">
        <v>12500</v>
      </c>
      <c r="F42" s="82">
        <v>0</v>
      </c>
      <c r="G42" s="83">
        <v>12500</v>
      </c>
      <c r="H42" s="83">
        <v>0</v>
      </c>
      <c r="I42" s="83">
        <v>0</v>
      </c>
      <c r="J42" s="83">
        <v>0</v>
      </c>
      <c r="K42" s="83">
        <v>-200</v>
      </c>
    </row>
    <row r="43" spans="1:11" x14ac:dyDescent="0.25">
      <c r="A43" s="100" t="s">
        <v>443</v>
      </c>
      <c r="B43" s="95" t="s">
        <v>329</v>
      </c>
      <c r="C43" s="81" t="s">
        <v>317</v>
      </c>
      <c r="D43" s="81" t="s">
        <v>418</v>
      </c>
      <c r="E43" s="82">
        <v>66013</v>
      </c>
      <c r="F43" s="82">
        <v>26013</v>
      </c>
      <c r="G43" s="83">
        <v>10000</v>
      </c>
      <c r="H43" s="83">
        <v>10000</v>
      </c>
      <c r="I43" s="83">
        <v>10000</v>
      </c>
      <c r="J43" s="83">
        <v>10000</v>
      </c>
      <c r="K43" s="83">
        <v>320</v>
      </c>
    </row>
    <row r="44" spans="1:11" x14ac:dyDescent="0.25">
      <c r="A44" s="100" t="s">
        <v>444</v>
      </c>
      <c r="B44" s="105" t="s">
        <v>445</v>
      </c>
      <c r="C44" s="81"/>
      <c r="D44" s="81">
        <v>2020</v>
      </c>
      <c r="E44" s="82">
        <v>1500</v>
      </c>
      <c r="F44" s="82">
        <v>0</v>
      </c>
      <c r="G44" s="83">
        <v>1500</v>
      </c>
      <c r="H44" s="83">
        <v>0</v>
      </c>
      <c r="I44" s="83">
        <v>0</v>
      </c>
      <c r="J44" s="83">
        <v>0</v>
      </c>
      <c r="K44" s="83">
        <v>0</v>
      </c>
    </row>
    <row r="45" spans="1:11" x14ac:dyDescent="0.25">
      <c r="A45" s="100" t="s">
        <v>446</v>
      </c>
      <c r="B45" s="95" t="s">
        <v>330</v>
      </c>
      <c r="C45" s="81" t="s">
        <v>317</v>
      </c>
      <c r="D45" s="81">
        <v>2021</v>
      </c>
      <c r="E45" s="82">
        <v>36000</v>
      </c>
      <c r="F45" s="82">
        <v>0</v>
      </c>
      <c r="G45" s="83">
        <v>0</v>
      </c>
      <c r="H45" s="83">
        <v>36000</v>
      </c>
      <c r="I45" s="83">
        <v>0</v>
      </c>
      <c r="J45" s="83">
        <v>0</v>
      </c>
      <c r="K45" s="83">
        <v>-1000</v>
      </c>
    </row>
    <row r="46" spans="1:11" x14ac:dyDescent="0.25">
      <c r="A46" s="100" t="s">
        <v>447</v>
      </c>
      <c r="B46" s="95" t="s">
        <v>331</v>
      </c>
      <c r="C46" s="81" t="s">
        <v>317</v>
      </c>
      <c r="D46" s="81">
        <v>2021</v>
      </c>
      <c r="E46" s="82">
        <v>16500</v>
      </c>
      <c r="F46" s="82">
        <v>0</v>
      </c>
      <c r="G46" s="83">
        <v>0</v>
      </c>
      <c r="H46" s="83">
        <v>16500</v>
      </c>
      <c r="I46" s="83">
        <v>0</v>
      </c>
      <c r="J46" s="83">
        <v>0</v>
      </c>
      <c r="K46" s="83">
        <v>-800</v>
      </c>
    </row>
    <row r="47" spans="1:11" x14ac:dyDescent="0.25">
      <c r="A47" s="100" t="s">
        <v>448</v>
      </c>
      <c r="B47" s="95" t="s">
        <v>332</v>
      </c>
      <c r="C47" s="81" t="s">
        <v>317</v>
      </c>
      <c r="D47" s="81" t="s">
        <v>418</v>
      </c>
      <c r="E47" s="82">
        <v>25000</v>
      </c>
      <c r="F47" s="82">
        <v>10000</v>
      </c>
      <c r="G47" s="83">
        <v>3000</v>
      </c>
      <c r="H47" s="83">
        <v>4000</v>
      </c>
      <c r="I47" s="83">
        <v>4000</v>
      </c>
      <c r="J47" s="83">
        <v>4000</v>
      </c>
      <c r="K47" s="83">
        <v>0</v>
      </c>
    </row>
    <row r="48" spans="1:11" x14ac:dyDescent="0.25">
      <c r="A48" s="100" t="s">
        <v>449</v>
      </c>
      <c r="B48" s="105" t="s">
        <v>450</v>
      </c>
      <c r="C48" s="81" t="s">
        <v>317</v>
      </c>
      <c r="D48" s="81">
        <v>2022</v>
      </c>
      <c r="E48" s="82">
        <v>7500</v>
      </c>
      <c r="F48" s="82">
        <v>0</v>
      </c>
      <c r="G48" s="83">
        <v>1500</v>
      </c>
      <c r="H48" s="83">
        <v>3000</v>
      </c>
      <c r="I48" s="83">
        <v>3000</v>
      </c>
      <c r="J48" s="83">
        <v>0</v>
      </c>
      <c r="K48" s="83">
        <v>100</v>
      </c>
    </row>
    <row r="49" spans="1:11" x14ac:dyDescent="0.25">
      <c r="A49" s="100" t="s">
        <v>451</v>
      </c>
      <c r="B49" s="95" t="s">
        <v>370</v>
      </c>
      <c r="C49" s="81" t="s">
        <v>317</v>
      </c>
      <c r="D49" s="81">
        <v>2023</v>
      </c>
      <c r="E49" s="82">
        <v>50900</v>
      </c>
      <c r="F49" s="82">
        <v>2400</v>
      </c>
      <c r="G49" s="83">
        <v>6500</v>
      </c>
      <c r="H49" s="83">
        <v>12000</v>
      </c>
      <c r="I49" s="83">
        <v>15000</v>
      </c>
      <c r="J49" s="83">
        <v>15000</v>
      </c>
      <c r="K49" s="83">
        <v>150</v>
      </c>
    </row>
    <row r="50" spans="1:11" x14ac:dyDescent="0.25">
      <c r="A50" s="100" t="s">
        <v>452</v>
      </c>
      <c r="B50" s="95" t="s">
        <v>371</v>
      </c>
      <c r="C50" s="81" t="s">
        <v>317</v>
      </c>
      <c r="D50" s="81">
        <v>2020</v>
      </c>
      <c r="E50" s="82">
        <v>900</v>
      </c>
      <c r="F50" s="82">
        <v>200</v>
      </c>
      <c r="G50" s="83">
        <v>700</v>
      </c>
      <c r="H50" s="83">
        <v>0</v>
      </c>
      <c r="I50" s="83">
        <v>0</v>
      </c>
      <c r="J50" s="83">
        <v>0</v>
      </c>
      <c r="K50" s="83">
        <v>0</v>
      </c>
    </row>
    <row r="51" spans="1:11" x14ac:dyDescent="0.25">
      <c r="A51" s="100" t="s">
        <v>453</v>
      </c>
      <c r="B51" s="105" t="s">
        <v>454</v>
      </c>
      <c r="C51" s="81"/>
      <c r="D51" s="81">
        <v>2020</v>
      </c>
      <c r="E51" s="82">
        <v>2000</v>
      </c>
      <c r="F51" s="82">
        <v>0</v>
      </c>
      <c r="G51" s="83">
        <v>2000</v>
      </c>
      <c r="H51" s="83">
        <v>0</v>
      </c>
      <c r="I51" s="83">
        <v>0</v>
      </c>
      <c r="J51" s="83">
        <v>0</v>
      </c>
      <c r="K51" s="83">
        <v>0</v>
      </c>
    </row>
    <row r="52" spans="1:11" x14ac:dyDescent="0.25">
      <c r="A52" s="100" t="s">
        <v>455</v>
      </c>
      <c r="B52" s="95" t="s">
        <v>372</v>
      </c>
      <c r="C52" s="81" t="s">
        <v>319</v>
      </c>
      <c r="D52" s="81">
        <v>2021</v>
      </c>
      <c r="E52" s="82">
        <v>6500</v>
      </c>
      <c r="F52" s="82">
        <v>0</v>
      </c>
      <c r="G52" s="83">
        <v>500</v>
      </c>
      <c r="H52" s="83">
        <v>6000</v>
      </c>
      <c r="I52" s="83">
        <v>0</v>
      </c>
      <c r="J52" s="83">
        <v>0</v>
      </c>
      <c r="K52" s="83">
        <v>0</v>
      </c>
    </row>
    <row r="53" spans="1:11" x14ac:dyDescent="0.25">
      <c r="A53" s="100" t="s">
        <v>456</v>
      </c>
      <c r="B53" s="106" t="s">
        <v>373</v>
      </c>
      <c r="C53" s="81" t="s">
        <v>317</v>
      </c>
      <c r="D53" s="81"/>
      <c r="E53" s="82">
        <v>350000</v>
      </c>
      <c r="F53" s="82">
        <v>0</v>
      </c>
      <c r="G53" s="83">
        <v>0</v>
      </c>
      <c r="H53" s="83">
        <v>0</v>
      </c>
      <c r="I53" s="83">
        <v>0</v>
      </c>
      <c r="J53" s="83">
        <v>0</v>
      </c>
      <c r="K53" s="83">
        <v>10000</v>
      </c>
    </row>
    <row r="54" spans="1:11" x14ac:dyDescent="0.25">
      <c r="A54" s="97"/>
      <c r="B54" s="98" t="s">
        <v>457</v>
      </c>
      <c r="C54" s="87"/>
      <c r="D54" s="88"/>
      <c r="E54" s="89"/>
      <c r="F54" s="89"/>
      <c r="G54" s="115">
        <f>SUM(G33:G53)</f>
        <v>457000</v>
      </c>
      <c r="H54" s="115">
        <f>SUM(H33:H53)</f>
        <v>187000</v>
      </c>
      <c r="I54" s="115">
        <f>SUM(I33:I53)</f>
        <v>50000</v>
      </c>
      <c r="J54" s="115">
        <f>SUM(J33:J53)</f>
        <v>50000</v>
      </c>
      <c r="K54" s="115">
        <f>SUM(K33:K53)</f>
        <v>21034</v>
      </c>
    </row>
    <row r="55" spans="1:11" x14ac:dyDescent="0.25">
      <c r="A55" s="46"/>
      <c r="B55" s="107"/>
      <c r="C55" s="46"/>
      <c r="D55" s="46"/>
      <c r="E55" s="46"/>
      <c r="F55" s="46"/>
      <c r="G55" s="46"/>
      <c r="H55" s="46"/>
      <c r="I55" s="46"/>
      <c r="J55" s="46"/>
      <c r="K55" s="46"/>
    </row>
    <row r="56" spans="1:11" x14ac:dyDescent="0.25">
      <c r="A56" s="46"/>
      <c r="B56" s="108"/>
      <c r="C56" s="46"/>
      <c r="D56" s="46"/>
      <c r="E56" s="46"/>
      <c r="F56" s="46"/>
      <c r="G56" s="46"/>
      <c r="H56" s="46"/>
      <c r="I56" s="46"/>
      <c r="J56" s="46"/>
      <c r="K56" s="46"/>
    </row>
    <row r="57" spans="1:11" x14ac:dyDescent="0.25">
      <c r="A57" s="72"/>
      <c r="B57" s="72"/>
      <c r="C57" s="73" t="s">
        <v>409</v>
      </c>
      <c r="D57" s="73" t="s">
        <v>410</v>
      </c>
      <c r="E57" s="112" t="s">
        <v>411</v>
      </c>
      <c r="F57" s="113"/>
      <c r="G57" s="74" t="s">
        <v>412</v>
      </c>
      <c r="H57" s="73" t="s">
        <v>412</v>
      </c>
      <c r="I57" s="73" t="s">
        <v>412</v>
      </c>
      <c r="J57" s="73" t="s">
        <v>412</v>
      </c>
      <c r="K57" s="73" t="s">
        <v>316</v>
      </c>
    </row>
    <row r="58" spans="1:11" x14ac:dyDescent="0.25">
      <c r="A58" s="75" t="s">
        <v>413</v>
      </c>
      <c r="B58" s="76" t="s">
        <v>29</v>
      </c>
      <c r="C58" s="75"/>
      <c r="D58" s="75" t="s">
        <v>415</v>
      </c>
      <c r="E58" s="77" t="s">
        <v>408</v>
      </c>
      <c r="F58" s="77" t="s">
        <v>416</v>
      </c>
      <c r="G58" s="78">
        <v>2020</v>
      </c>
      <c r="H58" s="75">
        <v>2021</v>
      </c>
      <c r="I58" s="75">
        <v>2022</v>
      </c>
      <c r="J58" s="75">
        <v>2023</v>
      </c>
      <c r="K58" s="75"/>
    </row>
    <row r="59" spans="1:11" x14ac:dyDescent="0.25">
      <c r="A59" s="100" t="s">
        <v>458</v>
      </c>
      <c r="B59" s="104" t="s">
        <v>341</v>
      </c>
      <c r="C59" s="81" t="s">
        <v>317</v>
      </c>
      <c r="D59" s="81" t="s">
        <v>418</v>
      </c>
      <c r="E59" s="82">
        <v>40000</v>
      </c>
      <c r="F59" s="82">
        <v>28500</v>
      </c>
      <c r="G59" s="83">
        <v>4000</v>
      </c>
      <c r="H59" s="83">
        <v>2500</v>
      </c>
      <c r="I59" s="83">
        <v>2500</v>
      </c>
      <c r="J59" s="83">
        <v>2500</v>
      </c>
      <c r="K59" s="83">
        <v>118</v>
      </c>
    </row>
    <row r="60" spans="1:11" x14ac:dyDescent="0.25">
      <c r="A60" s="100" t="s">
        <v>459</v>
      </c>
      <c r="B60" s="105" t="s">
        <v>460</v>
      </c>
      <c r="C60" s="81" t="s">
        <v>317</v>
      </c>
      <c r="D60" s="81">
        <v>2020</v>
      </c>
      <c r="E60" s="82">
        <v>31700</v>
      </c>
      <c r="F60" s="82">
        <v>16646</v>
      </c>
      <c r="G60" s="83">
        <v>15054</v>
      </c>
      <c r="H60" s="83">
        <v>0</v>
      </c>
      <c r="I60" s="83">
        <v>0</v>
      </c>
      <c r="J60" s="83">
        <v>0</v>
      </c>
      <c r="K60" s="83">
        <v>15758</v>
      </c>
    </row>
    <row r="61" spans="1:11" x14ac:dyDescent="0.25">
      <c r="A61" s="100" t="s">
        <v>461</v>
      </c>
      <c r="B61" s="95" t="s">
        <v>343</v>
      </c>
      <c r="C61" s="81" t="s">
        <v>317</v>
      </c>
      <c r="D61" s="81"/>
      <c r="E61" s="82">
        <v>621000</v>
      </c>
      <c r="F61" s="82">
        <v>3000</v>
      </c>
      <c r="G61" s="83">
        <v>0</v>
      </c>
      <c r="H61" s="83">
        <v>0</v>
      </c>
      <c r="I61" s="83">
        <v>25000</v>
      </c>
      <c r="J61" s="83">
        <v>25000</v>
      </c>
      <c r="K61" s="83">
        <v>151000</v>
      </c>
    </row>
    <row r="62" spans="1:11" x14ac:dyDescent="0.25">
      <c r="A62" s="100" t="s">
        <v>462</v>
      </c>
      <c r="B62" s="95" t="s">
        <v>344</v>
      </c>
      <c r="C62" s="81" t="s">
        <v>317</v>
      </c>
      <c r="D62" s="81">
        <v>2020</v>
      </c>
      <c r="E62" s="82">
        <v>800</v>
      </c>
      <c r="F62" s="82">
        <v>400</v>
      </c>
      <c r="G62" s="83">
        <v>400</v>
      </c>
      <c r="H62" s="83">
        <v>0</v>
      </c>
      <c r="I62" s="83">
        <v>0</v>
      </c>
      <c r="J62" s="83">
        <v>0</v>
      </c>
      <c r="K62" s="83">
        <v>0</v>
      </c>
    </row>
    <row r="63" spans="1:11" x14ac:dyDescent="0.25">
      <c r="A63" s="100" t="s">
        <v>463</v>
      </c>
      <c r="B63" s="95" t="s">
        <v>345</v>
      </c>
      <c r="C63" s="81" t="s">
        <v>317</v>
      </c>
      <c r="D63" s="81"/>
      <c r="E63" s="82">
        <v>85135</v>
      </c>
      <c r="F63" s="82">
        <v>33135</v>
      </c>
      <c r="G63" s="83">
        <v>12000</v>
      </c>
      <c r="H63" s="83">
        <v>14000</v>
      </c>
      <c r="I63" s="83">
        <v>14000</v>
      </c>
      <c r="J63" s="83">
        <v>12000</v>
      </c>
      <c r="K63" s="83">
        <v>22168</v>
      </c>
    </row>
    <row r="64" spans="1:11" x14ac:dyDescent="0.25">
      <c r="A64" s="100" t="s">
        <v>464</v>
      </c>
      <c r="B64" s="95" t="s">
        <v>346</v>
      </c>
      <c r="C64" s="81" t="s">
        <v>317</v>
      </c>
      <c r="D64" s="81"/>
      <c r="E64" s="82">
        <v>10250</v>
      </c>
      <c r="F64" s="82">
        <v>5250</v>
      </c>
      <c r="G64" s="83">
        <v>2000</v>
      </c>
      <c r="H64" s="83">
        <v>2000</v>
      </c>
      <c r="I64" s="83">
        <v>1000</v>
      </c>
      <c r="J64" s="83">
        <v>0</v>
      </c>
      <c r="K64" s="83">
        <v>500</v>
      </c>
    </row>
    <row r="65" spans="1:11" x14ac:dyDescent="0.25">
      <c r="A65" s="100" t="s">
        <v>465</v>
      </c>
      <c r="B65" s="95" t="s">
        <v>347</v>
      </c>
      <c r="C65" s="81" t="s">
        <v>317</v>
      </c>
      <c r="D65" s="81"/>
      <c r="E65" s="82">
        <v>17650</v>
      </c>
      <c r="F65" s="82">
        <v>7200</v>
      </c>
      <c r="G65" s="83">
        <v>3200</v>
      </c>
      <c r="H65" s="83">
        <v>3250</v>
      </c>
      <c r="I65" s="83">
        <v>2000</v>
      </c>
      <c r="J65" s="83">
        <v>2000</v>
      </c>
      <c r="K65" s="83">
        <v>2750</v>
      </c>
    </row>
    <row r="66" spans="1:11" x14ac:dyDescent="0.25">
      <c r="A66" s="100" t="s">
        <v>466</v>
      </c>
      <c r="B66" s="95" t="s">
        <v>348</v>
      </c>
      <c r="C66" s="81" t="s">
        <v>317</v>
      </c>
      <c r="D66" s="81">
        <v>2022</v>
      </c>
      <c r="E66" s="82">
        <v>1950</v>
      </c>
      <c r="F66" s="82">
        <v>900</v>
      </c>
      <c r="G66" s="83">
        <v>400</v>
      </c>
      <c r="H66" s="83">
        <v>400</v>
      </c>
      <c r="I66" s="83">
        <v>250</v>
      </c>
      <c r="J66" s="83">
        <v>0</v>
      </c>
      <c r="K66" s="83">
        <v>830</v>
      </c>
    </row>
    <row r="67" spans="1:11" x14ac:dyDescent="0.25">
      <c r="A67" s="100" t="s">
        <v>467</v>
      </c>
      <c r="B67" s="105" t="s">
        <v>468</v>
      </c>
      <c r="C67" s="81" t="s">
        <v>319</v>
      </c>
      <c r="D67" s="81">
        <v>2021</v>
      </c>
      <c r="E67" s="82">
        <v>37000</v>
      </c>
      <c r="F67" s="82">
        <v>17000</v>
      </c>
      <c r="G67" s="83">
        <v>10000</v>
      </c>
      <c r="H67" s="83">
        <v>10000</v>
      </c>
      <c r="I67" s="83">
        <v>0</v>
      </c>
      <c r="J67" s="83">
        <v>0</v>
      </c>
      <c r="K67" s="83">
        <v>0</v>
      </c>
    </row>
    <row r="68" spans="1:11" x14ac:dyDescent="0.25">
      <c r="A68" s="100" t="s">
        <v>469</v>
      </c>
      <c r="B68" s="105" t="s">
        <v>470</v>
      </c>
      <c r="C68" s="81" t="s">
        <v>317</v>
      </c>
      <c r="D68" s="81"/>
      <c r="E68" s="82">
        <v>1000</v>
      </c>
      <c r="F68" s="82">
        <v>0</v>
      </c>
      <c r="G68" s="83">
        <v>0</v>
      </c>
      <c r="H68" s="83">
        <v>0</v>
      </c>
      <c r="I68" s="83">
        <v>0</v>
      </c>
      <c r="J68" s="83">
        <v>1000</v>
      </c>
      <c r="K68" s="83">
        <v>0</v>
      </c>
    </row>
    <row r="69" spans="1:11" x14ac:dyDescent="0.25">
      <c r="A69" s="100" t="s">
        <v>471</v>
      </c>
      <c r="B69" s="105" t="s">
        <v>349</v>
      </c>
      <c r="C69" s="81" t="s">
        <v>317</v>
      </c>
      <c r="D69" s="81">
        <v>2022</v>
      </c>
      <c r="E69" s="82">
        <v>49000</v>
      </c>
      <c r="F69" s="82">
        <v>1000</v>
      </c>
      <c r="G69" s="83">
        <v>10000</v>
      </c>
      <c r="H69" s="83">
        <v>38000</v>
      </c>
      <c r="I69" s="83">
        <v>0</v>
      </c>
      <c r="J69" s="83">
        <v>0</v>
      </c>
      <c r="K69" s="83">
        <v>0</v>
      </c>
    </row>
    <row r="70" spans="1:11" x14ac:dyDescent="0.25">
      <c r="A70" s="100" t="s">
        <v>472</v>
      </c>
      <c r="B70" s="95" t="s">
        <v>350</v>
      </c>
      <c r="C70" s="81" t="s">
        <v>319</v>
      </c>
      <c r="D70" s="81">
        <v>2020</v>
      </c>
      <c r="E70" s="82">
        <v>10000</v>
      </c>
      <c r="F70" s="82">
        <v>0</v>
      </c>
      <c r="G70" s="83">
        <v>10000</v>
      </c>
      <c r="H70" s="83">
        <v>0</v>
      </c>
      <c r="I70" s="83">
        <v>0</v>
      </c>
      <c r="J70" s="83">
        <v>0</v>
      </c>
      <c r="K70" s="83">
        <v>0</v>
      </c>
    </row>
    <row r="71" spans="1:11" x14ac:dyDescent="0.25">
      <c r="A71" s="100" t="s">
        <v>473</v>
      </c>
      <c r="B71" s="106" t="s">
        <v>351</v>
      </c>
      <c r="C71" s="81" t="s">
        <v>317</v>
      </c>
      <c r="D71" s="81"/>
      <c r="E71" s="82">
        <v>5000</v>
      </c>
      <c r="F71" s="82">
        <v>0</v>
      </c>
      <c r="G71" s="83">
        <v>0</v>
      </c>
      <c r="H71" s="83">
        <v>0</v>
      </c>
      <c r="I71" s="83">
        <v>0</v>
      </c>
      <c r="J71" s="83">
        <v>5000</v>
      </c>
      <c r="K71" s="83">
        <v>150</v>
      </c>
    </row>
    <row r="72" spans="1:11" x14ac:dyDescent="0.25">
      <c r="A72" s="97"/>
      <c r="B72" s="98" t="s">
        <v>474</v>
      </c>
      <c r="C72" s="87"/>
      <c r="D72" s="88"/>
      <c r="E72" s="89"/>
      <c r="F72" s="89"/>
      <c r="G72" s="115">
        <f>SUM(G59:G71)</f>
        <v>67054</v>
      </c>
      <c r="H72" s="115">
        <f>SUM(H59:H71)</f>
        <v>70150</v>
      </c>
      <c r="I72" s="115">
        <f>SUM(I59:I71)</f>
        <v>44750</v>
      </c>
      <c r="J72" s="115">
        <f>SUM(J59:J71)</f>
        <v>47500</v>
      </c>
      <c r="K72" s="115">
        <f>SUM(K59:K71)</f>
        <v>193274</v>
      </c>
    </row>
    <row r="73" spans="1:11" x14ac:dyDescent="0.25">
      <c r="A73" s="46"/>
      <c r="B73" s="108"/>
      <c r="C73" s="46"/>
      <c r="D73" s="46"/>
      <c r="E73" s="46"/>
      <c r="F73" s="46"/>
      <c r="G73" s="46"/>
      <c r="H73" s="46"/>
      <c r="I73" s="46"/>
      <c r="J73" s="46"/>
      <c r="K73" s="46"/>
    </row>
    <row r="74" spans="1:11" x14ac:dyDescent="0.25">
      <c r="A74" s="46"/>
      <c r="B74" s="108"/>
      <c r="C74" s="46"/>
      <c r="D74" s="46"/>
      <c r="E74" s="46"/>
      <c r="F74" s="46"/>
      <c r="G74" s="46"/>
      <c r="H74" s="46"/>
      <c r="I74" s="46"/>
      <c r="J74" s="46"/>
      <c r="K74" s="46"/>
    </row>
    <row r="75" spans="1:11" x14ac:dyDescent="0.25">
      <c r="A75" s="72"/>
      <c r="B75" s="72"/>
      <c r="C75" s="73" t="s">
        <v>409</v>
      </c>
      <c r="D75" s="73" t="s">
        <v>410</v>
      </c>
      <c r="E75" s="112" t="s">
        <v>411</v>
      </c>
      <c r="F75" s="113"/>
      <c r="G75" s="74" t="s">
        <v>412</v>
      </c>
      <c r="H75" s="73" t="s">
        <v>412</v>
      </c>
      <c r="I75" s="73" t="s">
        <v>412</v>
      </c>
      <c r="J75" s="73" t="s">
        <v>412</v>
      </c>
      <c r="K75" s="73" t="s">
        <v>316</v>
      </c>
    </row>
    <row r="76" spans="1:11" x14ac:dyDescent="0.25">
      <c r="A76" s="75" t="s">
        <v>413</v>
      </c>
      <c r="B76" s="76" t="s">
        <v>29</v>
      </c>
      <c r="C76" s="75"/>
      <c r="D76" s="75" t="s">
        <v>415</v>
      </c>
      <c r="E76" s="77" t="s">
        <v>408</v>
      </c>
      <c r="F76" s="77" t="s">
        <v>416</v>
      </c>
      <c r="G76" s="78">
        <v>2020</v>
      </c>
      <c r="H76" s="75">
        <v>2021</v>
      </c>
      <c r="I76" s="75">
        <v>2022</v>
      </c>
      <c r="J76" s="75">
        <v>2023</v>
      </c>
      <c r="K76" s="75"/>
    </row>
    <row r="77" spans="1:11" x14ac:dyDescent="0.25">
      <c r="A77" s="100" t="s">
        <v>475</v>
      </c>
      <c r="B77" s="109" t="s">
        <v>334</v>
      </c>
      <c r="C77" s="81" t="s">
        <v>317</v>
      </c>
      <c r="D77" s="81" t="s">
        <v>418</v>
      </c>
      <c r="E77" s="82">
        <v>136460.6</v>
      </c>
      <c r="F77" s="82">
        <v>108460.6</v>
      </c>
      <c r="G77" s="83">
        <v>7000</v>
      </c>
      <c r="H77" s="83">
        <v>7000</v>
      </c>
      <c r="I77" s="83">
        <v>7000</v>
      </c>
      <c r="J77" s="83">
        <v>7000</v>
      </c>
      <c r="K77" s="83">
        <v>0</v>
      </c>
    </row>
    <row r="78" spans="1:11" x14ac:dyDescent="0.25">
      <c r="A78" s="100" t="s">
        <v>476</v>
      </c>
      <c r="B78" s="110" t="s">
        <v>335</v>
      </c>
      <c r="C78" s="81" t="s">
        <v>317</v>
      </c>
      <c r="D78" s="81" t="s">
        <v>418</v>
      </c>
      <c r="E78" s="82">
        <v>50915</v>
      </c>
      <c r="F78" s="82">
        <v>26915</v>
      </c>
      <c r="G78" s="83">
        <v>6000</v>
      </c>
      <c r="H78" s="83">
        <v>6000</v>
      </c>
      <c r="I78" s="83">
        <v>6000</v>
      </c>
      <c r="J78" s="83">
        <v>6000</v>
      </c>
      <c r="K78" s="83">
        <v>80</v>
      </c>
    </row>
    <row r="79" spans="1:11" x14ac:dyDescent="0.25">
      <c r="A79" s="100" t="s">
        <v>477</v>
      </c>
      <c r="B79" s="110" t="s">
        <v>336</v>
      </c>
      <c r="C79" s="81" t="s">
        <v>317</v>
      </c>
      <c r="D79" s="81" t="s">
        <v>418</v>
      </c>
      <c r="E79" s="82">
        <v>208500</v>
      </c>
      <c r="F79" s="82">
        <v>90500</v>
      </c>
      <c r="G79" s="83">
        <v>29500</v>
      </c>
      <c r="H79" s="83">
        <v>29500</v>
      </c>
      <c r="I79" s="83">
        <v>29500</v>
      </c>
      <c r="J79" s="83">
        <v>29500</v>
      </c>
      <c r="K79" s="83">
        <v>0</v>
      </c>
    </row>
    <row r="80" spans="1:11" x14ac:dyDescent="0.25">
      <c r="A80" s="100" t="s">
        <v>478</v>
      </c>
      <c r="B80" s="110" t="s">
        <v>337</v>
      </c>
      <c r="C80" s="81" t="s">
        <v>317</v>
      </c>
      <c r="D80" s="81" t="s">
        <v>418</v>
      </c>
      <c r="E80" s="82">
        <v>33950</v>
      </c>
      <c r="F80" s="82">
        <v>20350</v>
      </c>
      <c r="G80" s="83">
        <v>3100</v>
      </c>
      <c r="H80" s="83">
        <v>3500</v>
      </c>
      <c r="I80" s="83">
        <v>3500</v>
      </c>
      <c r="J80" s="83">
        <v>3500</v>
      </c>
      <c r="K80" s="83">
        <v>1333</v>
      </c>
    </row>
    <row r="81" spans="1:11" x14ac:dyDescent="0.25">
      <c r="A81" s="100" t="s">
        <v>479</v>
      </c>
      <c r="B81" s="110" t="s">
        <v>338</v>
      </c>
      <c r="C81" s="81" t="s">
        <v>317</v>
      </c>
      <c r="D81" s="81">
        <v>2019</v>
      </c>
      <c r="E81" s="82">
        <v>687000</v>
      </c>
      <c r="F81" s="82">
        <v>640000</v>
      </c>
      <c r="G81" s="83">
        <v>47000</v>
      </c>
      <c r="H81" s="83">
        <v>0</v>
      </c>
      <c r="I81" s="83">
        <v>0</v>
      </c>
      <c r="J81" s="83">
        <v>0</v>
      </c>
      <c r="K81" s="83">
        <f>-27000+4200</f>
        <v>-22800</v>
      </c>
    </row>
    <row r="82" spans="1:11" x14ac:dyDescent="0.25">
      <c r="A82" s="100" t="s">
        <v>480</v>
      </c>
      <c r="B82" s="110" t="s">
        <v>481</v>
      </c>
      <c r="C82" s="81" t="s">
        <v>317</v>
      </c>
      <c r="D82" s="81">
        <v>2023</v>
      </c>
      <c r="E82" s="82">
        <v>0</v>
      </c>
      <c r="F82" s="82">
        <v>0</v>
      </c>
      <c r="G82" s="83">
        <v>0</v>
      </c>
      <c r="H82" s="83">
        <v>0</v>
      </c>
      <c r="I82" s="83">
        <v>0</v>
      </c>
      <c r="J82" s="83">
        <v>2500</v>
      </c>
      <c r="K82" s="83">
        <v>0</v>
      </c>
    </row>
    <row r="83" spans="1:11" x14ac:dyDescent="0.25">
      <c r="A83" s="100" t="s">
        <v>482</v>
      </c>
      <c r="B83" s="110" t="s">
        <v>339</v>
      </c>
      <c r="C83" s="81" t="s">
        <v>317</v>
      </c>
      <c r="D83" s="81">
        <v>2021</v>
      </c>
      <c r="E83" s="82">
        <v>7500</v>
      </c>
      <c r="F83" s="82">
        <v>0</v>
      </c>
      <c r="G83" s="83">
        <v>1000</v>
      </c>
      <c r="H83" s="83">
        <v>6500</v>
      </c>
      <c r="I83" s="83">
        <v>0</v>
      </c>
      <c r="J83" s="83">
        <v>0</v>
      </c>
      <c r="K83" s="83">
        <v>0</v>
      </c>
    </row>
    <row r="84" spans="1:11" x14ac:dyDescent="0.25">
      <c r="A84" s="100" t="s">
        <v>483</v>
      </c>
      <c r="B84" s="111" t="s">
        <v>340</v>
      </c>
      <c r="C84" s="81" t="s">
        <v>317</v>
      </c>
      <c r="D84" s="81" t="s">
        <v>418</v>
      </c>
      <c r="E84" s="82">
        <v>51895.1</v>
      </c>
      <c r="F84" s="82">
        <v>34395.1</v>
      </c>
      <c r="G84" s="83">
        <v>4000</v>
      </c>
      <c r="H84" s="83">
        <v>4500</v>
      </c>
      <c r="I84" s="83">
        <v>4500</v>
      </c>
      <c r="J84" s="83">
        <v>4500</v>
      </c>
      <c r="K84" s="83">
        <v>0</v>
      </c>
    </row>
    <row r="85" spans="1:11" x14ac:dyDescent="0.25">
      <c r="A85" s="97"/>
      <c r="B85" s="98" t="s">
        <v>484</v>
      </c>
      <c r="C85" s="87"/>
      <c r="D85" s="88"/>
      <c r="E85" s="89"/>
      <c r="F85" s="89"/>
      <c r="G85" s="115">
        <f t="shared" ref="G85:I85" si="1">SUM(G77:G84)</f>
        <v>97600</v>
      </c>
      <c r="H85" s="115">
        <f t="shared" si="1"/>
        <v>57000</v>
      </c>
      <c r="I85" s="115">
        <f t="shared" si="1"/>
        <v>50500</v>
      </c>
      <c r="J85" s="115">
        <f>SUM(J77:J84)</f>
        <v>53000</v>
      </c>
      <c r="K85" s="115">
        <f>SUM(K77:K84)</f>
        <v>-21387</v>
      </c>
    </row>
    <row r="86" spans="1:1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1:11" x14ac:dyDescent="0.25">
      <c r="A87" s="46"/>
      <c r="B87" s="108"/>
      <c r="C87" s="46"/>
      <c r="D87" s="46"/>
      <c r="E87" s="46"/>
      <c r="F87" s="46"/>
      <c r="G87" s="46"/>
      <c r="H87" s="46"/>
      <c r="I87" s="46"/>
      <c r="J87" s="46"/>
      <c r="K87" s="46"/>
    </row>
    <row r="88" spans="1:11" x14ac:dyDescent="0.25">
      <c r="A88" s="72"/>
      <c r="B88" s="72"/>
      <c r="C88" s="73" t="s">
        <v>409</v>
      </c>
      <c r="D88" s="73" t="s">
        <v>410</v>
      </c>
      <c r="E88" s="112" t="s">
        <v>411</v>
      </c>
      <c r="F88" s="113"/>
      <c r="G88" s="74" t="s">
        <v>412</v>
      </c>
      <c r="H88" s="73" t="s">
        <v>412</v>
      </c>
      <c r="I88" s="73" t="s">
        <v>412</v>
      </c>
      <c r="J88" s="73" t="s">
        <v>412</v>
      </c>
      <c r="K88" s="73" t="s">
        <v>316</v>
      </c>
    </row>
    <row r="89" spans="1:11" x14ac:dyDescent="0.25">
      <c r="A89" s="75" t="s">
        <v>413</v>
      </c>
      <c r="B89" s="76" t="s">
        <v>29</v>
      </c>
      <c r="C89" s="75"/>
      <c r="D89" s="75" t="s">
        <v>415</v>
      </c>
      <c r="E89" s="77" t="s">
        <v>408</v>
      </c>
      <c r="F89" s="77" t="s">
        <v>416</v>
      </c>
      <c r="G89" s="78">
        <v>2020</v>
      </c>
      <c r="H89" s="75">
        <v>2021</v>
      </c>
      <c r="I89" s="75">
        <v>2022</v>
      </c>
      <c r="J89" s="75">
        <v>2023</v>
      </c>
      <c r="K89" s="75"/>
    </row>
    <row r="90" spans="1:11" x14ac:dyDescent="0.25">
      <c r="A90" s="100" t="s">
        <v>485</v>
      </c>
      <c r="B90" s="109" t="s">
        <v>353</v>
      </c>
      <c r="C90" s="81" t="s">
        <v>317</v>
      </c>
      <c r="D90" s="81">
        <v>2022</v>
      </c>
      <c r="E90" s="82">
        <v>279444</v>
      </c>
      <c r="F90" s="82">
        <v>142227</v>
      </c>
      <c r="G90" s="83">
        <v>71156</v>
      </c>
      <c r="H90" s="83">
        <v>41158</v>
      </c>
      <c r="I90" s="83">
        <v>24903</v>
      </c>
      <c r="J90" s="83">
        <v>0</v>
      </c>
      <c r="K90" s="83">
        <v>0</v>
      </c>
    </row>
    <row r="91" spans="1:11" x14ac:dyDescent="0.25">
      <c r="A91" s="100" t="s">
        <v>486</v>
      </c>
      <c r="B91" s="110" t="s">
        <v>354</v>
      </c>
      <c r="C91" s="81" t="s">
        <v>317</v>
      </c>
      <c r="D91" s="81">
        <v>2022</v>
      </c>
      <c r="E91" s="82">
        <v>22300</v>
      </c>
      <c r="F91" s="82">
        <v>12100</v>
      </c>
      <c r="G91" s="83">
        <v>600</v>
      </c>
      <c r="H91" s="83">
        <v>4800</v>
      </c>
      <c r="I91" s="83">
        <v>4800</v>
      </c>
      <c r="J91" s="83">
        <v>0</v>
      </c>
      <c r="K91" s="83">
        <v>0</v>
      </c>
    </row>
    <row r="92" spans="1:11" x14ac:dyDescent="0.25">
      <c r="A92" s="100" t="s">
        <v>487</v>
      </c>
      <c r="B92" s="110" t="s">
        <v>355</v>
      </c>
      <c r="C92" s="81" t="s">
        <v>317</v>
      </c>
      <c r="D92" s="81">
        <v>2022</v>
      </c>
      <c r="E92" s="82">
        <v>91470</v>
      </c>
      <c r="F92" s="82">
        <v>63312</v>
      </c>
      <c r="G92" s="83">
        <v>15870</v>
      </c>
      <c r="H92" s="83">
        <v>10406</v>
      </c>
      <c r="I92" s="83">
        <v>1882</v>
      </c>
      <c r="J92" s="83">
        <v>0</v>
      </c>
      <c r="K92" s="83">
        <v>0</v>
      </c>
    </row>
    <row r="93" spans="1:11" x14ac:dyDescent="0.25">
      <c r="A93" s="100" t="s">
        <v>488</v>
      </c>
      <c r="B93" s="110" t="s">
        <v>356</v>
      </c>
      <c r="C93" s="81" t="s">
        <v>317</v>
      </c>
      <c r="D93" s="81" t="s">
        <v>418</v>
      </c>
      <c r="E93" s="82">
        <v>53750</v>
      </c>
      <c r="F93" s="82">
        <v>31750</v>
      </c>
      <c r="G93" s="83">
        <v>5500</v>
      </c>
      <c r="H93" s="83">
        <v>5500</v>
      </c>
      <c r="I93" s="83">
        <v>5500</v>
      </c>
      <c r="J93" s="83">
        <v>5500</v>
      </c>
      <c r="K93" s="83">
        <v>0</v>
      </c>
    </row>
    <row r="94" spans="1:11" x14ac:dyDescent="0.25">
      <c r="A94" s="100" t="s">
        <v>489</v>
      </c>
      <c r="B94" s="110" t="s">
        <v>357</v>
      </c>
      <c r="C94" s="81" t="s">
        <v>317</v>
      </c>
      <c r="D94" s="81" t="s">
        <v>418</v>
      </c>
      <c r="E94" s="82">
        <v>20000</v>
      </c>
      <c r="F94" s="82">
        <v>10000</v>
      </c>
      <c r="G94" s="83">
        <v>2500</v>
      </c>
      <c r="H94" s="83">
        <v>2500</v>
      </c>
      <c r="I94" s="83">
        <v>2500</v>
      </c>
      <c r="J94" s="83">
        <v>2500</v>
      </c>
      <c r="K94" s="83">
        <v>0</v>
      </c>
    </row>
    <row r="95" spans="1:11" x14ac:dyDescent="0.25">
      <c r="A95" s="100" t="s">
        <v>490</v>
      </c>
      <c r="B95" s="110" t="s">
        <v>358</v>
      </c>
      <c r="C95" s="81" t="s">
        <v>317</v>
      </c>
      <c r="D95" s="81" t="s">
        <v>418</v>
      </c>
      <c r="E95" s="82">
        <v>101150</v>
      </c>
      <c r="F95" s="82">
        <v>81150</v>
      </c>
      <c r="G95" s="83">
        <v>5000</v>
      </c>
      <c r="H95" s="83">
        <v>5000</v>
      </c>
      <c r="I95" s="83">
        <v>5000</v>
      </c>
      <c r="J95" s="83">
        <v>5000</v>
      </c>
      <c r="K95" s="83">
        <v>0</v>
      </c>
    </row>
    <row r="96" spans="1:11" x14ac:dyDescent="0.25">
      <c r="A96" s="100" t="s">
        <v>491</v>
      </c>
      <c r="B96" s="110" t="s">
        <v>359</v>
      </c>
      <c r="C96" s="81" t="s">
        <v>317</v>
      </c>
      <c r="D96" s="81" t="s">
        <v>418</v>
      </c>
      <c r="E96" s="82">
        <v>12000</v>
      </c>
      <c r="F96" s="82">
        <v>4000</v>
      </c>
      <c r="G96" s="83">
        <v>2000</v>
      </c>
      <c r="H96" s="83">
        <v>2000</v>
      </c>
      <c r="I96" s="83">
        <v>2000</v>
      </c>
      <c r="J96" s="83">
        <v>2000</v>
      </c>
      <c r="K96" s="83">
        <v>0</v>
      </c>
    </row>
    <row r="97" spans="1:11" x14ac:dyDescent="0.25">
      <c r="A97" s="100" t="s">
        <v>492</v>
      </c>
      <c r="B97" s="110" t="s">
        <v>360</v>
      </c>
      <c r="C97" s="81" t="s">
        <v>317</v>
      </c>
      <c r="D97" s="81" t="s">
        <v>418</v>
      </c>
      <c r="E97" s="82">
        <v>54000</v>
      </c>
      <c r="F97" s="82">
        <v>34000</v>
      </c>
      <c r="G97" s="83">
        <v>5000</v>
      </c>
      <c r="H97" s="83">
        <v>5000</v>
      </c>
      <c r="I97" s="83">
        <v>5000</v>
      </c>
      <c r="J97" s="83">
        <v>5000</v>
      </c>
      <c r="K97" s="83">
        <v>0</v>
      </c>
    </row>
    <row r="98" spans="1:11" x14ac:dyDescent="0.25">
      <c r="A98" s="100" t="s">
        <v>493</v>
      </c>
      <c r="B98" s="110" t="s">
        <v>361</v>
      </c>
      <c r="C98" s="81" t="s">
        <v>319</v>
      </c>
      <c r="D98" s="81" t="s">
        <v>418</v>
      </c>
      <c r="E98" s="82">
        <v>91500</v>
      </c>
      <c r="F98" s="82">
        <v>71500</v>
      </c>
      <c r="G98" s="83">
        <v>5000</v>
      </c>
      <c r="H98" s="83">
        <v>5000</v>
      </c>
      <c r="I98" s="83">
        <v>5000</v>
      </c>
      <c r="J98" s="83">
        <v>5000</v>
      </c>
      <c r="K98" s="83">
        <v>0</v>
      </c>
    </row>
    <row r="99" spans="1:11" x14ac:dyDescent="0.25">
      <c r="A99" s="100" t="s">
        <v>494</v>
      </c>
      <c r="B99" s="110" t="s">
        <v>362</v>
      </c>
      <c r="C99" s="81" t="s">
        <v>317</v>
      </c>
      <c r="D99" s="81">
        <v>2020</v>
      </c>
      <c r="E99" s="82">
        <v>9700</v>
      </c>
      <c r="F99" s="82">
        <v>7700</v>
      </c>
      <c r="G99" s="83">
        <v>2000</v>
      </c>
      <c r="H99" s="83">
        <v>0</v>
      </c>
      <c r="I99" s="83">
        <v>0</v>
      </c>
      <c r="J99" s="83">
        <v>0</v>
      </c>
      <c r="K99" s="83">
        <v>0</v>
      </c>
    </row>
    <row r="100" spans="1:11" x14ac:dyDescent="0.25">
      <c r="A100" s="100" t="s">
        <v>495</v>
      </c>
      <c r="B100" s="110" t="s">
        <v>363</v>
      </c>
      <c r="C100" s="81" t="s">
        <v>317</v>
      </c>
      <c r="D100" s="81">
        <v>2020</v>
      </c>
      <c r="E100" s="82">
        <v>6500</v>
      </c>
      <c r="F100" s="82">
        <v>0</v>
      </c>
      <c r="G100" s="83">
        <v>6500</v>
      </c>
      <c r="H100" s="83">
        <v>0</v>
      </c>
      <c r="I100" s="83">
        <v>0</v>
      </c>
      <c r="J100" s="83">
        <v>0</v>
      </c>
      <c r="K100" s="83">
        <v>0</v>
      </c>
    </row>
    <row r="101" spans="1:11" x14ac:dyDescent="0.25">
      <c r="A101" s="100" t="s">
        <v>496</v>
      </c>
      <c r="B101" s="110" t="s">
        <v>497</v>
      </c>
      <c r="C101" s="81" t="s">
        <v>319</v>
      </c>
      <c r="D101" s="81" t="s">
        <v>418</v>
      </c>
      <c r="E101" s="82"/>
      <c r="F101" s="82"/>
      <c r="G101" s="83">
        <v>2700</v>
      </c>
      <c r="H101" s="83">
        <v>2700</v>
      </c>
      <c r="I101" s="83">
        <v>2700</v>
      </c>
      <c r="J101" s="83">
        <v>2700</v>
      </c>
      <c r="K101" s="83">
        <v>0</v>
      </c>
    </row>
    <row r="102" spans="1:11" x14ac:dyDescent="0.25">
      <c r="A102" s="100" t="s">
        <v>498</v>
      </c>
      <c r="B102" s="110" t="s">
        <v>364</v>
      </c>
      <c r="C102" s="81" t="s">
        <v>317</v>
      </c>
      <c r="D102" s="81">
        <v>2021</v>
      </c>
      <c r="E102" s="82">
        <v>60000</v>
      </c>
      <c r="F102" s="82">
        <v>4000</v>
      </c>
      <c r="G102" s="83">
        <v>30000</v>
      </c>
      <c r="H102" s="83">
        <v>26000</v>
      </c>
      <c r="I102" s="83">
        <v>0</v>
      </c>
      <c r="J102" s="83">
        <v>0</v>
      </c>
      <c r="K102" s="83">
        <v>0</v>
      </c>
    </row>
    <row r="103" spans="1:11" x14ac:dyDescent="0.25">
      <c r="A103" s="100" t="s">
        <v>499</v>
      </c>
      <c r="B103" s="110" t="s">
        <v>365</v>
      </c>
      <c r="C103" s="81" t="s">
        <v>317</v>
      </c>
      <c r="D103" s="81">
        <v>2022</v>
      </c>
      <c r="E103" s="82">
        <v>99000</v>
      </c>
      <c r="F103" s="82">
        <v>0</v>
      </c>
      <c r="G103" s="83">
        <v>65000</v>
      </c>
      <c r="H103" s="83">
        <v>34000</v>
      </c>
      <c r="I103" s="83">
        <v>0</v>
      </c>
      <c r="J103" s="83">
        <v>0</v>
      </c>
      <c r="K103" s="83">
        <v>-5000</v>
      </c>
    </row>
    <row r="104" spans="1:11" x14ac:dyDescent="0.25">
      <c r="A104" s="100" t="s">
        <v>500</v>
      </c>
      <c r="B104" s="110" t="s">
        <v>366</v>
      </c>
      <c r="C104" s="81" t="s">
        <v>317</v>
      </c>
      <c r="D104" s="81">
        <v>2020</v>
      </c>
      <c r="E104" s="82">
        <v>750</v>
      </c>
      <c r="F104" s="82">
        <v>0</v>
      </c>
      <c r="G104" s="83">
        <v>750</v>
      </c>
      <c r="H104" s="83">
        <v>0</v>
      </c>
      <c r="I104" s="83">
        <v>0</v>
      </c>
      <c r="J104" s="83">
        <v>0</v>
      </c>
      <c r="K104" s="83">
        <v>0</v>
      </c>
    </row>
    <row r="105" spans="1:11" x14ac:dyDescent="0.25">
      <c r="A105" s="100" t="s">
        <v>501</v>
      </c>
      <c r="B105" s="110" t="s">
        <v>367</v>
      </c>
      <c r="C105" s="81" t="s">
        <v>317</v>
      </c>
      <c r="D105" s="81">
        <v>2023</v>
      </c>
      <c r="E105" s="82">
        <v>3200</v>
      </c>
      <c r="F105" s="82">
        <v>0</v>
      </c>
      <c r="G105" s="83">
        <v>800</v>
      </c>
      <c r="H105" s="83">
        <v>800</v>
      </c>
      <c r="I105" s="83">
        <v>800</v>
      </c>
      <c r="J105" s="83">
        <v>800</v>
      </c>
      <c r="K105" s="83">
        <v>0</v>
      </c>
    </row>
    <row r="106" spans="1:11" x14ac:dyDescent="0.25">
      <c r="A106" s="100" t="s">
        <v>502</v>
      </c>
      <c r="B106" s="110" t="s">
        <v>368</v>
      </c>
      <c r="C106" s="81" t="s">
        <v>317</v>
      </c>
      <c r="D106" s="81">
        <v>2020</v>
      </c>
      <c r="E106" s="82">
        <v>1900</v>
      </c>
      <c r="F106" s="82">
        <v>0</v>
      </c>
      <c r="G106" s="83">
        <v>1900</v>
      </c>
      <c r="H106" s="83">
        <v>0</v>
      </c>
      <c r="I106" s="83">
        <v>0</v>
      </c>
      <c r="J106" s="83">
        <v>0</v>
      </c>
      <c r="K106" s="83">
        <v>0</v>
      </c>
    </row>
    <row r="107" spans="1:11" x14ac:dyDescent="0.25">
      <c r="A107" s="100" t="s">
        <v>503</v>
      </c>
      <c r="B107" s="110" t="s">
        <v>383</v>
      </c>
      <c r="C107" s="81" t="s">
        <v>319</v>
      </c>
      <c r="D107" s="81" t="s">
        <v>418</v>
      </c>
      <c r="E107" s="82">
        <v>345250</v>
      </c>
      <c r="F107" s="82">
        <v>257250</v>
      </c>
      <c r="G107" s="83">
        <v>22000</v>
      </c>
      <c r="H107" s="83">
        <v>22000</v>
      </c>
      <c r="I107" s="83">
        <v>22000</v>
      </c>
      <c r="J107" s="83">
        <v>22000</v>
      </c>
      <c r="K107" s="83">
        <v>0</v>
      </c>
    </row>
    <row r="108" spans="1:11" x14ac:dyDescent="0.25">
      <c r="A108" s="100" t="s">
        <v>504</v>
      </c>
      <c r="B108" s="110" t="s">
        <v>384</v>
      </c>
      <c r="C108" s="81" t="s">
        <v>319</v>
      </c>
      <c r="D108" s="81"/>
      <c r="E108" s="82">
        <v>19800</v>
      </c>
      <c r="F108" s="82">
        <v>12800</v>
      </c>
      <c r="G108" s="83">
        <v>0</v>
      </c>
      <c r="H108" s="83">
        <v>0</v>
      </c>
      <c r="I108" s="83">
        <v>0</v>
      </c>
      <c r="J108" s="83">
        <v>2000</v>
      </c>
      <c r="K108" s="83">
        <v>0</v>
      </c>
    </row>
    <row r="109" spans="1:11" x14ac:dyDescent="0.25">
      <c r="A109" s="100" t="s">
        <v>505</v>
      </c>
      <c r="B109" s="110" t="s">
        <v>385</v>
      </c>
      <c r="C109" s="81" t="s">
        <v>319</v>
      </c>
      <c r="D109" s="81">
        <v>2022</v>
      </c>
      <c r="E109" s="82">
        <v>28000</v>
      </c>
      <c r="F109" s="82">
        <v>15500</v>
      </c>
      <c r="G109" s="83">
        <v>0</v>
      </c>
      <c r="H109" s="83">
        <v>8000</v>
      </c>
      <c r="I109" s="83">
        <v>4500</v>
      </c>
      <c r="J109" s="83">
        <v>0</v>
      </c>
      <c r="K109" s="83">
        <v>0</v>
      </c>
    </row>
    <row r="110" spans="1:11" x14ac:dyDescent="0.25">
      <c r="A110" s="100" t="s">
        <v>506</v>
      </c>
      <c r="B110" s="110" t="s">
        <v>386</v>
      </c>
      <c r="C110" s="81" t="s">
        <v>319</v>
      </c>
      <c r="D110" s="81" t="s">
        <v>418</v>
      </c>
      <c r="E110" s="82">
        <v>100300</v>
      </c>
      <c r="F110" s="82">
        <v>31400</v>
      </c>
      <c r="G110" s="83">
        <v>5000</v>
      </c>
      <c r="H110" s="83">
        <v>19000</v>
      </c>
      <c r="I110" s="83">
        <v>22800</v>
      </c>
      <c r="J110" s="83">
        <v>22100</v>
      </c>
      <c r="K110" s="83">
        <v>0</v>
      </c>
    </row>
    <row r="111" spans="1:11" x14ac:dyDescent="0.25">
      <c r="A111" s="100" t="s">
        <v>507</v>
      </c>
      <c r="B111" s="110" t="s">
        <v>387</v>
      </c>
      <c r="C111" s="81" t="s">
        <v>319</v>
      </c>
      <c r="D111" s="81"/>
      <c r="E111" s="82">
        <v>40000</v>
      </c>
      <c r="F111" s="82">
        <v>0</v>
      </c>
      <c r="G111" s="83"/>
      <c r="H111" s="83"/>
      <c r="I111" s="83">
        <v>15000</v>
      </c>
      <c r="J111" s="83">
        <v>25000</v>
      </c>
      <c r="K111" s="83">
        <v>0</v>
      </c>
    </row>
    <row r="112" spans="1:11" x14ac:dyDescent="0.25">
      <c r="A112" s="100" t="s">
        <v>508</v>
      </c>
      <c r="B112" s="110" t="s">
        <v>388</v>
      </c>
      <c r="C112" s="81" t="s">
        <v>319</v>
      </c>
      <c r="D112" s="81">
        <v>2021</v>
      </c>
      <c r="E112" s="82">
        <v>5000</v>
      </c>
      <c r="F112" s="82">
        <v>0</v>
      </c>
      <c r="G112" s="83">
        <v>0</v>
      </c>
      <c r="H112" s="83">
        <v>5000</v>
      </c>
      <c r="I112" s="83">
        <v>0</v>
      </c>
      <c r="J112" s="83">
        <v>0</v>
      </c>
      <c r="K112" s="83">
        <v>0</v>
      </c>
    </row>
    <row r="113" spans="1:11" x14ac:dyDescent="0.25">
      <c r="A113" s="100" t="s">
        <v>509</v>
      </c>
      <c r="B113" s="110" t="s">
        <v>389</v>
      </c>
      <c r="C113" s="81" t="s">
        <v>319</v>
      </c>
      <c r="D113" s="81">
        <v>2020</v>
      </c>
      <c r="E113" s="82">
        <v>26000</v>
      </c>
      <c r="F113" s="82">
        <v>10000</v>
      </c>
      <c r="G113" s="83">
        <v>16000</v>
      </c>
      <c r="H113" s="83">
        <v>0</v>
      </c>
      <c r="I113" s="83">
        <v>0</v>
      </c>
      <c r="J113" s="83">
        <v>0</v>
      </c>
      <c r="K113" s="83">
        <v>0</v>
      </c>
    </row>
    <row r="114" spans="1:11" x14ac:dyDescent="0.25">
      <c r="A114" s="100" t="s">
        <v>510</v>
      </c>
      <c r="B114" s="110" t="s">
        <v>390</v>
      </c>
      <c r="C114" s="81" t="s">
        <v>319</v>
      </c>
      <c r="D114" s="81">
        <v>2022</v>
      </c>
      <c r="E114" s="82">
        <v>78500</v>
      </c>
      <c r="F114" s="82">
        <v>9500</v>
      </c>
      <c r="G114" s="83">
        <v>2000</v>
      </c>
      <c r="H114" s="83">
        <v>48000</v>
      </c>
      <c r="I114" s="83">
        <v>19000</v>
      </c>
      <c r="J114" s="83">
        <v>0</v>
      </c>
      <c r="K114" s="83">
        <v>0</v>
      </c>
    </row>
    <row r="115" spans="1:11" x14ac:dyDescent="0.25">
      <c r="A115" s="100" t="s">
        <v>511</v>
      </c>
      <c r="B115" s="110" t="s">
        <v>391</v>
      </c>
      <c r="C115" s="81" t="s">
        <v>319</v>
      </c>
      <c r="D115" s="81">
        <v>2020</v>
      </c>
      <c r="E115" s="82">
        <v>7100</v>
      </c>
      <c r="F115" s="82">
        <v>4000</v>
      </c>
      <c r="G115" s="83">
        <v>3100</v>
      </c>
      <c r="H115" s="83">
        <v>0</v>
      </c>
      <c r="I115" s="83">
        <v>0</v>
      </c>
      <c r="J115" s="83">
        <v>0</v>
      </c>
      <c r="K115" s="83">
        <v>0</v>
      </c>
    </row>
    <row r="116" spans="1:11" x14ac:dyDescent="0.25">
      <c r="A116" s="100" t="s">
        <v>512</v>
      </c>
      <c r="B116" s="110" t="s">
        <v>392</v>
      </c>
      <c r="C116" s="81" t="s">
        <v>319</v>
      </c>
      <c r="D116" s="81">
        <v>2022</v>
      </c>
      <c r="E116" s="82">
        <v>15000</v>
      </c>
      <c r="F116" s="82">
        <v>3000</v>
      </c>
      <c r="G116" s="83">
        <v>5000</v>
      </c>
      <c r="H116" s="83">
        <v>5000</v>
      </c>
      <c r="I116" s="83">
        <v>2000</v>
      </c>
      <c r="J116" s="83">
        <v>0</v>
      </c>
      <c r="K116" s="83">
        <v>0</v>
      </c>
    </row>
    <row r="117" spans="1:11" x14ac:dyDescent="0.25">
      <c r="A117" s="100" t="s">
        <v>513</v>
      </c>
      <c r="B117" s="110" t="s">
        <v>393</v>
      </c>
      <c r="C117" s="81" t="s">
        <v>319</v>
      </c>
      <c r="D117" s="81">
        <v>2020</v>
      </c>
      <c r="E117" s="82">
        <v>20000</v>
      </c>
      <c r="F117" s="82">
        <v>10000</v>
      </c>
      <c r="G117" s="83">
        <v>10000</v>
      </c>
      <c r="H117" s="83">
        <v>0</v>
      </c>
      <c r="I117" s="83">
        <v>0</v>
      </c>
      <c r="J117" s="83">
        <v>0</v>
      </c>
      <c r="K117" s="83">
        <v>0</v>
      </c>
    </row>
    <row r="118" spans="1:11" x14ac:dyDescent="0.25">
      <c r="A118" s="100" t="s">
        <v>514</v>
      </c>
      <c r="B118" s="110" t="s">
        <v>394</v>
      </c>
      <c r="C118" s="81" t="s">
        <v>319</v>
      </c>
      <c r="D118" s="81">
        <v>2020</v>
      </c>
      <c r="E118" s="82">
        <v>4000</v>
      </c>
      <c r="F118" s="82">
        <v>0</v>
      </c>
      <c r="G118" s="83">
        <v>4000</v>
      </c>
      <c r="H118" s="83">
        <v>0</v>
      </c>
      <c r="I118" s="83">
        <v>0</v>
      </c>
      <c r="J118" s="83">
        <v>0</v>
      </c>
      <c r="K118" s="83">
        <v>0</v>
      </c>
    </row>
    <row r="119" spans="1:11" x14ac:dyDescent="0.25">
      <c r="A119" s="100" t="s">
        <v>515</v>
      </c>
      <c r="B119" s="110" t="s">
        <v>395</v>
      </c>
      <c r="C119" s="81" t="s">
        <v>319</v>
      </c>
      <c r="D119" s="81">
        <v>2020</v>
      </c>
      <c r="E119" s="82">
        <v>4500</v>
      </c>
      <c r="F119" s="82">
        <v>0</v>
      </c>
      <c r="G119" s="83">
        <v>4500</v>
      </c>
      <c r="H119" s="83">
        <v>0</v>
      </c>
      <c r="I119" s="83">
        <v>0</v>
      </c>
      <c r="J119" s="83">
        <v>0</v>
      </c>
      <c r="K119" s="83">
        <v>0</v>
      </c>
    </row>
    <row r="120" spans="1:11" x14ac:dyDescent="0.25">
      <c r="A120" s="100" t="s">
        <v>516</v>
      </c>
      <c r="B120" s="110" t="s">
        <v>396</v>
      </c>
      <c r="C120" s="81" t="s">
        <v>319</v>
      </c>
      <c r="D120" s="81" t="s">
        <v>418</v>
      </c>
      <c r="E120" s="82">
        <v>289000</v>
      </c>
      <c r="F120" s="82">
        <v>201000</v>
      </c>
      <c r="G120" s="83">
        <v>22000</v>
      </c>
      <c r="H120" s="83">
        <v>22000</v>
      </c>
      <c r="I120" s="83">
        <v>22000</v>
      </c>
      <c r="J120" s="83">
        <v>22000</v>
      </c>
      <c r="K120" s="83">
        <v>0</v>
      </c>
    </row>
    <row r="121" spans="1:11" x14ac:dyDescent="0.25">
      <c r="A121" s="100" t="s">
        <v>517</v>
      </c>
      <c r="B121" s="110" t="s">
        <v>397</v>
      </c>
      <c r="C121" s="81" t="s">
        <v>319</v>
      </c>
      <c r="D121" s="81">
        <v>2021</v>
      </c>
      <c r="E121" s="82">
        <v>102800</v>
      </c>
      <c r="F121" s="82">
        <v>76500</v>
      </c>
      <c r="G121" s="83">
        <v>16300</v>
      </c>
      <c r="H121" s="83">
        <v>10000</v>
      </c>
      <c r="I121" s="83">
        <v>0</v>
      </c>
      <c r="J121" s="83">
        <v>0</v>
      </c>
      <c r="K121" s="83">
        <v>0</v>
      </c>
    </row>
    <row r="122" spans="1:11" x14ac:dyDescent="0.25">
      <c r="A122" s="100" t="s">
        <v>518</v>
      </c>
      <c r="B122" s="110" t="s">
        <v>398</v>
      </c>
      <c r="C122" s="81" t="s">
        <v>319</v>
      </c>
      <c r="D122" s="81">
        <v>2022</v>
      </c>
      <c r="E122" s="82">
        <v>17500</v>
      </c>
      <c r="F122" s="82">
        <v>14500</v>
      </c>
      <c r="G122" s="83"/>
      <c r="H122" s="83">
        <v>0</v>
      </c>
      <c r="I122" s="83">
        <v>3200</v>
      </c>
      <c r="J122" s="83">
        <v>0</v>
      </c>
      <c r="K122" s="83">
        <v>0</v>
      </c>
    </row>
    <row r="123" spans="1:11" x14ac:dyDescent="0.25">
      <c r="A123" s="100" t="s">
        <v>519</v>
      </c>
      <c r="B123" s="110" t="s">
        <v>384</v>
      </c>
      <c r="C123" s="81" t="s">
        <v>319</v>
      </c>
      <c r="D123" s="81"/>
      <c r="E123" s="82">
        <v>26400</v>
      </c>
      <c r="F123" s="82">
        <v>12300</v>
      </c>
      <c r="G123" s="83">
        <v>0</v>
      </c>
      <c r="H123" s="83">
        <v>0</v>
      </c>
      <c r="I123" s="83">
        <v>0</v>
      </c>
      <c r="J123" s="83">
        <v>2600</v>
      </c>
      <c r="K123" s="83">
        <v>0</v>
      </c>
    </row>
    <row r="124" spans="1:11" x14ac:dyDescent="0.25">
      <c r="A124" s="100" t="s">
        <v>520</v>
      </c>
      <c r="B124" s="110" t="s">
        <v>399</v>
      </c>
      <c r="C124" s="81" t="s">
        <v>319</v>
      </c>
      <c r="D124" s="81">
        <v>2021</v>
      </c>
      <c r="E124" s="82">
        <v>51700</v>
      </c>
      <c r="F124" s="82">
        <v>11700</v>
      </c>
      <c r="G124" s="83">
        <v>20000</v>
      </c>
      <c r="H124" s="83">
        <v>20000</v>
      </c>
      <c r="I124" s="83">
        <v>0</v>
      </c>
      <c r="J124" s="83">
        <v>0</v>
      </c>
      <c r="K124" s="83">
        <v>0</v>
      </c>
    </row>
    <row r="125" spans="1:11" x14ac:dyDescent="0.25">
      <c r="A125" s="100" t="s">
        <v>521</v>
      </c>
      <c r="B125" s="110" t="s">
        <v>400</v>
      </c>
      <c r="C125" s="81" t="s">
        <v>319</v>
      </c>
      <c r="D125" s="81"/>
      <c r="E125" s="82">
        <v>42000</v>
      </c>
      <c r="F125" s="82">
        <v>2000</v>
      </c>
      <c r="G125" s="83">
        <v>0</v>
      </c>
      <c r="H125" s="83">
        <v>0</v>
      </c>
      <c r="I125" s="83">
        <v>2000</v>
      </c>
      <c r="J125" s="83">
        <v>10000</v>
      </c>
      <c r="K125" s="83">
        <v>0</v>
      </c>
    </row>
    <row r="126" spans="1:11" x14ac:dyDescent="0.25">
      <c r="A126" s="100" t="s">
        <v>522</v>
      </c>
      <c r="B126" s="110" t="s">
        <v>401</v>
      </c>
      <c r="C126" s="81" t="s">
        <v>319</v>
      </c>
      <c r="D126" s="81">
        <v>2020</v>
      </c>
      <c r="E126" s="82">
        <v>27700</v>
      </c>
      <c r="F126" s="82">
        <v>18700</v>
      </c>
      <c r="G126" s="83">
        <v>9000</v>
      </c>
      <c r="H126" s="83">
        <v>0</v>
      </c>
      <c r="I126" s="83">
        <v>0</v>
      </c>
      <c r="J126" s="83">
        <v>0</v>
      </c>
      <c r="K126" s="83">
        <v>0</v>
      </c>
    </row>
    <row r="127" spans="1:11" x14ac:dyDescent="0.25">
      <c r="A127" s="100" t="s">
        <v>523</v>
      </c>
      <c r="B127" s="110" t="s">
        <v>389</v>
      </c>
      <c r="C127" s="81" t="s">
        <v>319</v>
      </c>
      <c r="D127" s="81">
        <v>2021</v>
      </c>
      <c r="E127" s="82">
        <v>44000</v>
      </c>
      <c r="F127" s="82">
        <v>14000</v>
      </c>
      <c r="G127" s="83">
        <v>6000</v>
      </c>
      <c r="H127" s="83">
        <v>24000</v>
      </c>
      <c r="I127" s="83">
        <v>0</v>
      </c>
      <c r="J127" s="83">
        <v>0</v>
      </c>
      <c r="K127" s="83">
        <v>0</v>
      </c>
    </row>
    <row r="128" spans="1:11" x14ac:dyDescent="0.25">
      <c r="A128" s="100" t="s">
        <v>524</v>
      </c>
      <c r="B128" s="110" t="s">
        <v>402</v>
      </c>
      <c r="C128" s="81" t="s">
        <v>319</v>
      </c>
      <c r="D128" s="81">
        <v>2022</v>
      </c>
      <c r="E128" s="82">
        <v>43500</v>
      </c>
      <c r="F128" s="82">
        <v>1500</v>
      </c>
      <c r="G128" s="83">
        <v>6500</v>
      </c>
      <c r="H128" s="83">
        <v>16500</v>
      </c>
      <c r="I128" s="83">
        <v>19000</v>
      </c>
      <c r="J128" s="83">
        <v>0</v>
      </c>
      <c r="K128" s="83">
        <v>0</v>
      </c>
    </row>
    <row r="129" spans="1:11" x14ac:dyDescent="0.25">
      <c r="A129" s="100" t="s">
        <v>525</v>
      </c>
      <c r="B129" s="110" t="s">
        <v>403</v>
      </c>
      <c r="C129" s="81" t="s">
        <v>319</v>
      </c>
      <c r="D129" s="81" t="s">
        <v>418</v>
      </c>
      <c r="E129" s="82">
        <v>69000</v>
      </c>
      <c r="F129" s="82">
        <v>2000</v>
      </c>
      <c r="G129" s="83">
        <v>12000</v>
      </c>
      <c r="H129" s="83">
        <v>12000</v>
      </c>
      <c r="I129" s="83">
        <v>12000</v>
      </c>
      <c r="J129" s="83">
        <v>12000</v>
      </c>
      <c r="K129" s="83">
        <v>0</v>
      </c>
    </row>
    <row r="130" spans="1:11" x14ac:dyDescent="0.25">
      <c r="A130" s="100" t="s">
        <v>526</v>
      </c>
      <c r="B130" s="110" t="s">
        <v>404</v>
      </c>
      <c r="C130" s="81" t="s">
        <v>319</v>
      </c>
      <c r="D130" s="81">
        <v>2022</v>
      </c>
      <c r="E130" s="82">
        <v>21000</v>
      </c>
      <c r="F130" s="82">
        <v>0</v>
      </c>
      <c r="G130" s="83">
        <v>500</v>
      </c>
      <c r="H130" s="83">
        <v>9500</v>
      </c>
      <c r="I130" s="83">
        <v>11000</v>
      </c>
      <c r="J130" s="83">
        <v>0</v>
      </c>
      <c r="K130" s="83">
        <v>0</v>
      </c>
    </row>
    <row r="131" spans="1:11" x14ac:dyDescent="0.25">
      <c r="A131" s="100" t="s">
        <v>527</v>
      </c>
      <c r="B131" s="110" t="s">
        <v>405</v>
      </c>
      <c r="C131" s="81" t="s">
        <v>319</v>
      </c>
      <c r="D131" s="81">
        <v>2022</v>
      </c>
      <c r="E131" s="82">
        <v>12000</v>
      </c>
      <c r="F131" s="82">
        <v>0</v>
      </c>
      <c r="G131" s="83">
        <v>500</v>
      </c>
      <c r="H131" s="83">
        <v>5500</v>
      </c>
      <c r="I131" s="83">
        <v>6000</v>
      </c>
      <c r="J131" s="83">
        <v>0</v>
      </c>
      <c r="K131" s="83">
        <v>0</v>
      </c>
    </row>
    <row r="132" spans="1:11" x14ac:dyDescent="0.25">
      <c r="A132" s="100" t="s">
        <v>528</v>
      </c>
      <c r="B132" s="110" t="s">
        <v>406</v>
      </c>
      <c r="C132" s="81" t="s">
        <v>319</v>
      </c>
      <c r="D132" s="81">
        <v>2022</v>
      </c>
      <c r="E132" s="82">
        <v>20000</v>
      </c>
      <c r="F132" s="82">
        <v>1500</v>
      </c>
      <c r="G132" s="83">
        <v>8500</v>
      </c>
      <c r="H132" s="83">
        <v>8000</v>
      </c>
      <c r="I132" s="83">
        <v>2000</v>
      </c>
      <c r="J132" s="83">
        <v>0</v>
      </c>
      <c r="K132" s="83">
        <v>0</v>
      </c>
    </row>
    <row r="133" spans="1:11" x14ac:dyDescent="0.25">
      <c r="A133" s="100" t="s">
        <v>529</v>
      </c>
      <c r="B133" s="111" t="s">
        <v>407</v>
      </c>
      <c r="C133" s="81" t="s">
        <v>319</v>
      </c>
      <c r="D133" s="81">
        <v>2021</v>
      </c>
      <c r="E133" s="82">
        <v>2000</v>
      </c>
      <c r="F133" s="82">
        <v>0</v>
      </c>
      <c r="G133" s="83">
        <v>0</v>
      </c>
      <c r="H133" s="83">
        <v>2000</v>
      </c>
      <c r="I133" s="83">
        <v>0</v>
      </c>
      <c r="J133" s="83">
        <v>0</v>
      </c>
      <c r="K133" s="83">
        <v>0</v>
      </c>
    </row>
    <row r="134" spans="1:11" x14ac:dyDescent="0.25">
      <c r="A134" s="114"/>
      <c r="B134" s="98" t="s">
        <v>530</v>
      </c>
      <c r="C134" s="87"/>
      <c r="D134" s="88"/>
      <c r="E134" s="89"/>
      <c r="F134" s="89"/>
      <c r="G134" s="115">
        <f>SUM(G90:G133)</f>
        <v>395176</v>
      </c>
      <c r="H134" s="115">
        <f>SUM(H90:H133)</f>
        <v>381364</v>
      </c>
      <c r="I134" s="115">
        <f>SUM(I90:I133)</f>
        <v>222585</v>
      </c>
      <c r="J134" s="115">
        <f>SUM(J90:J133)</f>
        <v>146200</v>
      </c>
      <c r="K134" s="115">
        <f>SUM(K90:K133)</f>
        <v>-5000</v>
      </c>
    </row>
  </sheetData>
  <pageMargins left="0.7" right="0.7" top="0.75" bottom="0.75" header="0.3" footer="0.3"/>
  <pageSetup paperSize="9" scale="66" fitToHeight="0" orientation="portrait" r:id="rId1"/>
  <ignoredErrors>
    <ignoredError sqref="G134:J134 G85:J85 G72:J72 G54:J54 G22:J22 G13:J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>
      <selection activeCell="F46" sqref="F46"/>
    </sheetView>
  </sheetViews>
  <sheetFormatPr baseColWidth="10" defaultRowHeight="15" x14ac:dyDescent="0.25"/>
  <cols>
    <col min="1" max="1" width="65.85546875" bestFit="1" customWidth="1"/>
    <col min="2" max="2" width="6" customWidth="1"/>
    <col min="3" max="3" width="24.7109375" bestFit="1" customWidth="1"/>
  </cols>
  <sheetData>
    <row r="1" spans="1:9" ht="30" x14ac:dyDescent="0.25">
      <c r="A1" s="27" t="s">
        <v>531</v>
      </c>
      <c r="B1" s="27" t="s">
        <v>409</v>
      </c>
      <c r="C1" s="27" t="s">
        <v>532</v>
      </c>
      <c r="D1" s="116" t="s">
        <v>533</v>
      </c>
      <c r="E1" s="77">
        <v>2020</v>
      </c>
      <c r="F1" s="77">
        <v>2021</v>
      </c>
      <c r="G1" s="77">
        <v>2022</v>
      </c>
      <c r="H1" s="77">
        <v>2023</v>
      </c>
      <c r="I1" s="116" t="s">
        <v>534</v>
      </c>
    </row>
    <row r="2" spans="1:9" x14ac:dyDescent="0.25">
      <c r="A2" s="68" t="s">
        <v>535</v>
      </c>
      <c r="B2" s="69" t="s">
        <v>317</v>
      </c>
      <c r="C2" s="69" t="s">
        <v>333</v>
      </c>
      <c r="D2" s="71">
        <v>13400</v>
      </c>
      <c r="E2" s="71">
        <v>1400</v>
      </c>
      <c r="F2" s="71"/>
      <c r="G2" s="71"/>
      <c r="H2" s="71"/>
      <c r="I2" s="117"/>
    </row>
    <row r="3" spans="1:9" x14ac:dyDescent="0.25">
      <c r="A3" s="68" t="s">
        <v>536</v>
      </c>
      <c r="B3" s="69" t="s">
        <v>317</v>
      </c>
      <c r="C3" s="69" t="s">
        <v>537</v>
      </c>
      <c r="D3" s="71">
        <v>400</v>
      </c>
      <c r="E3" s="71">
        <v>400</v>
      </c>
      <c r="F3" s="71"/>
      <c r="G3" s="71"/>
      <c r="H3" s="71"/>
      <c r="I3" s="117"/>
    </row>
    <row r="4" spans="1:9" x14ac:dyDescent="0.25">
      <c r="A4" s="68" t="s">
        <v>538</v>
      </c>
      <c r="B4" s="69" t="s">
        <v>317</v>
      </c>
      <c r="C4" s="69" t="s">
        <v>537</v>
      </c>
      <c r="D4" s="71">
        <v>750</v>
      </c>
      <c r="E4" s="71">
        <v>750</v>
      </c>
      <c r="F4" s="71"/>
      <c r="G4" s="71"/>
      <c r="H4" s="71"/>
      <c r="I4" s="118">
        <v>3.2</v>
      </c>
    </row>
    <row r="5" spans="1:9" x14ac:dyDescent="0.25">
      <c r="A5" s="68" t="s">
        <v>539</v>
      </c>
      <c r="B5" s="69" t="s">
        <v>317</v>
      </c>
      <c r="C5" s="69" t="s">
        <v>537</v>
      </c>
      <c r="D5" s="71">
        <v>10400</v>
      </c>
      <c r="E5" s="71">
        <v>10400</v>
      </c>
      <c r="F5" s="71"/>
      <c r="G5" s="71"/>
      <c r="H5" s="71"/>
      <c r="I5" s="117"/>
    </row>
    <row r="6" spans="1:9" x14ac:dyDescent="0.25">
      <c r="A6" s="68" t="s">
        <v>540</v>
      </c>
      <c r="B6" s="69" t="s">
        <v>317</v>
      </c>
      <c r="C6" s="69" t="s">
        <v>537</v>
      </c>
      <c r="D6" s="70">
        <v>2500</v>
      </c>
      <c r="E6" s="70">
        <v>2500</v>
      </c>
      <c r="F6" s="70"/>
      <c r="G6" s="71"/>
      <c r="H6" s="71"/>
      <c r="I6" s="117"/>
    </row>
    <row r="7" spans="1:9" x14ac:dyDescent="0.25">
      <c r="A7" s="68" t="s">
        <v>541</v>
      </c>
      <c r="B7" s="69" t="s">
        <v>317</v>
      </c>
      <c r="C7" s="69" t="s">
        <v>537</v>
      </c>
      <c r="D7" s="70">
        <v>1000</v>
      </c>
      <c r="E7" s="70">
        <v>1000</v>
      </c>
      <c r="F7" s="70"/>
      <c r="G7" s="71"/>
      <c r="H7" s="71"/>
      <c r="I7" s="117"/>
    </row>
    <row r="8" spans="1:9" x14ac:dyDescent="0.25">
      <c r="A8" s="68" t="s">
        <v>542</v>
      </c>
      <c r="B8" s="69" t="s">
        <v>317</v>
      </c>
      <c r="C8" s="69" t="s">
        <v>537</v>
      </c>
      <c r="D8" s="71">
        <v>1000</v>
      </c>
      <c r="E8" s="71"/>
      <c r="F8" s="71"/>
      <c r="G8" s="71"/>
      <c r="H8" s="71"/>
      <c r="I8" s="117"/>
    </row>
    <row r="9" spans="1:9" x14ac:dyDescent="0.25">
      <c r="A9" s="68" t="s">
        <v>543</v>
      </c>
      <c r="B9" s="69" t="s">
        <v>317</v>
      </c>
      <c r="C9" s="69" t="s">
        <v>537</v>
      </c>
      <c r="D9" s="71">
        <v>1000</v>
      </c>
      <c r="E9" s="71"/>
      <c r="F9" s="71"/>
      <c r="G9" s="71"/>
      <c r="H9" s="71"/>
      <c r="I9" s="117"/>
    </row>
    <row r="10" spans="1:9" x14ac:dyDescent="0.25">
      <c r="A10" s="68" t="s">
        <v>544</v>
      </c>
      <c r="B10" s="69" t="s">
        <v>317</v>
      </c>
      <c r="C10" s="69" t="s">
        <v>537</v>
      </c>
      <c r="D10" s="71">
        <v>1000</v>
      </c>
      <c r="E10" s="71"/>
      <c r="F10" s="71"/>
      <c r="G10" s="71"/>
      <c r="H10" s="71"/>
      <c r="I10" s="117"/>
    </row>
    <row r="11" spans="1:9" x14ac:dyDescent="0.25">
      <c r="A11" s="68" t="s">
        <v>545</v>
      </c>
      <c r="B11" s="69" t="s">
        <v>317</v>
      </c>
      <c r="C11" s="69" t="s">
        <v>537</v>
      </c>
      <c r="D11" s="71">
        <v>2500</v>
      </c>
      <c r="E11" s="71"/>
      <c r="F11" s="71"/>
      <c r="G11" s="71"/>
      <c r="H11" s="71"/>
      <c r="I11" s="117"/>
    </row>
    <row r="12" spans="1:9" x14ac:dyDescent="0.25">
      <c r="A12" s="68" t="s">
        <v>546</v>
      </c>
      <c r="B12" s="69" t="s">
        <v>317</v>
      </c>
      <c r="C12" s="69" t="s">
        <v>537</v>
      </c>
      <c r="D12" s="71">
        <v>1000</v>
      </c>
      <c r="E12" s="71"/>
      <c r="F12" s="71"/>
      <c r="G12" s="71"/>
      <c r="H12" s="71"/>
      <c r="I12" s="118"/>
    </row>
    <row r="13" spans="1:9" x14ac:dyDescent="0.25">
      <c r="A13" s="68" t="s">
        <v>547</v>
      </c>
      <c r="B13" s="69" t="s">
        <v>317</v>
      </c>
      <c r="C13" s="69" t="s">
        <v>537</v>
      </c>
      <c r="D13" s="71">
        <v>500</v>
      </c>
      <c r="E13" s="71"/>
      <c r="F13" s="71"/>
      <c r="G13" s="71"/>
      <c r="H13" s="71"/>
      <c r="I13" s="118"/>
    </row>
    <row r="14" spans="1:9" x14ac:dyDescent="0.25">
      <c r="A14" s="68" t="s">
        <v>548</v>
      </c>
      <c r="B14" s="69" t="s">
        <v>317</v>
      </c>
      <c r="C14" s="69" t="s">
        <v>537</v>
      </c>
      <c r="D14" s="71">
        <v>41000</v>
      </c>
      <c r="E14" s="71">
        <v>20500</v>
      </c>
      <c r="F14" s="71">
        <v>20500</v>
      </c>
      <c r="G14" s="71"/>
      <c r="H14" s="71"/>
      <c r="I14" s="118">
        <v>27.2</v>
      </c>
    </row>
    <row r="15" spans="1:9" x14ac:dyDescent="0.25">
      <c r="A15" s="68" t="s">
        <v>342</v>
      </c>
      <c r="B15" s="69" t="s">
        <v>319</v>
      </c>
      <c r="C15" s="69" t="s">
        <v>537</v>
      </c>
      <c r="D15" s="71">
        <v>-14150</v>
      </c>
      <c r="E15" s="71"/>
      <c r="F15" s="71">
        <v>-14150</v>
      </c>
      <c r="G15" s="71"/>
      <c r="H15" s="71"/>
      <c r="I15" s="118"/>
    </row>
    <row r="16" spans="1:9" x14ac:dyDescent="0.25">
      <c r="A16" s="68" t="s">
        <v>549</v>
      </c>
      <c r="B16" s="69" t="s">
        <v>317</v>
      </c>
      <c r="C16" s="69" t="s">
        <v>537</v>
      </c>
      <c r="D16" s="71">
        <v>52000</v>
      </c>
      <c r="E16" s="71">
        <v>2000</v>
      </c>
      <c r="F16" s="71">
        <v>30000</v>
      </c>
      <c r="G16" s="71">
        <v>30000</v>
      </c>
      <c r="H16" s="71"/>
      <c r="I16" s="118">
        <v>39</v>
      </c>
    </row>
    <row r="17" spans="1:9" x14ac:dyDescent="0.25">
      <c r="A17" s="68" t="s">
        <v>342</v>
      </c>
      <c r="B17" s="69" t="s">
        <v>319</v>
      </c>
      <c r="C17" s="69" t="s">
        <v>537</v>
      </c>
      <c r="D17" s="71">
        <v>-27000</v>
      </c>
      <c r="E17" s="71"/>
      <c r="F17" s="71"/>
      <c r="G17" s="71">
        <v>-27000</v>
      </c>
      <c r="H17" s="71"/>
      <c r="I17" s="118"/>
    </row>
    <row r="18" spans="1:9" x14ac:dyDescent="0.25">
      <c r="A18" s="68" t="s">
        <v>550</v>
      </c>
      <c r="B18" s="69" t="s">
        <v>319</v>
      </c>
      <c r="C18" s="69" t="s">
        <v>537</v>
      </c>
      <c r="D18" s="71">
        <v>42000</v>
      </c>
      <c r="E18" s="71">
        <v>2000</v>
      </c>
      <c r="F18" s="71">
        <v>20000</v>
      </c>
      <c r="G18" s="71">
        <v>20000</v>
      </c>
      <c r="H18" s="71"/>
      <c r="I18" s="118">
        <v>19.5</v>
      </c>
    </row>
    <row r="19" spans="1:9" x14ac:dyDescent="0.25">
      <c r="A19" s="68" t="s">
        <v>342</v>
      </c>
      <c r="B19" s="69" t="s">
        <v>319</v>
      </c>
      <c r="C19" s="69" t="s">
        <v>537</v>
      </c>
      <c r="D19" s="71">
        <v>-18000</v>
      </c>
      <c r="E19" s="71"/>
      <c r="F19" s="71"/>
      <c r="G19" s="71">
        <v>-18000</v>
      </c>
      <c r="H19" s="71"/>
      <c r="I19" s="118"/>
    </row>
    <row r="20" spans="1:9" x14ac:dyDescent="0.25">
      <c r="A20" s="68" t="s">
        <v>551</v>
      </c>
      <c r="B20" s="69" t="s">
        <v>317</v>
      </c>
      <c r="C20" s="69" t="s">
        <v>537</v>
      </c>
      <c r="D20" s="71">
        <v>51600</v>
      </c>
      <c r="E20" s="71"/>
      <c r="F20" s="71"/>
      <c r="G20" s="71"/>
      <c r="H20" s="71"/>
      <c r="I20" s="118">
        <v>22.277999999999999</v>
      </c>
    </row>
    <row r="21" spans="1:9" x14ac:dyDescent="0.25">
      <c r="A21" s="68" t="s">
        <v>342</v>
      </c>
      <c r="B21" s="69" t="s">
        <v>319</v>
      </c>
      <c r="C21" s="69" t="s">
        <v>537</v>
      </c>
      <c r="D21" s="71">
        <v>-17424</v>
      </c>
      <c r="E21" s="71">
        <v>-7104</v>
      </c>
      <c r="F21" s="71"/>
      <c r="G21" s="71"/>
      <c r="H21" s="71"/>
      <c r="I21" s="118"/>
    </row>
    <row r="22" spans="1:9" x14ac:dyDescent="0.25">
      <c r="A22" s="68" t="s">
        <v>552</v>
      </c>
      <c r="B22" s="69" t="s">
        <v>319</v>
      </c>
      <c r="C22" s="69" t="s">
        <v>374</v>
      </c>
      <c r="D22" s="70">
        <v>20000</v>
      </c>
      <c r="E22" s="70"/>
      <c r="F22" s="70"/>
      <c r="G22" s="71">
        <v>10000</v>
      </c>
      <c r="H22" s="71">
        <v>10000</v>
      </c>
      <c r="I22" s="117"/>
    </row>
    <row r="23" spans="1:9" x14ac:dyDescent="0.25">
      <c r="A23" s="68" t="s">
        <v>553</v>
      </c>
      <c r="B23" s="69" t="s">
        <v>319</v>
      </c>
      <c r="C23" s="69" t="s">
        <v>374</v>
      </c>
      <c r="D23" s="70">
        <v>15000</v>
      </c>
      <c r="E23" s="70"/>
      <c r="F23" s="70">
        <v>10000</v>
      </c>
      <c r="G23" s="71">
        <v>5000</v>
      </c>
      <c r="H23" s="71"/>
      <c r="I23" s="117">
        <v>-0.01</v>
      </c>
    </row>
    <row r="24" spans="1:9" x14ac:dyDescent="0.25">
      <c r="A24" s="68" t="s">
        <v>554</v>
      </c>
      <c r="B24" s="69" t="s">
        <v>319</v>
      </c>
      <c r="C24" s="69" t="s">
        <v>374</v>
      </c>
      <c r="D24" s="70">
        <v>3000</v>
      </c>
      <c r="E24" s="70">
        <v>3000</v>
      </c>
      <c r="F24" s="70"/>
      <c r="G24" s="71"/>
      <c r="H24" s="71"/>
      <c r="I24" s="117">
        <v>-0.01</v>
      </c>
    </row>
    <row r="25" spans="1:9" x14ac:dyDescent="0.25">
      <c r="A25" s="68" t="s">
        <v>555</v>
      </c>
      <c r="B25" s="69" t="s">
        <v>317</v>
      </c>
      <c r="C25" s="69" t="s">
        <v>82</v>
      </c>
      <c r="D25" s="70">
        <v>1500</v>
      </c>
      <c r="E25" s="70">
        <v>750</v>
      </c>
      <c r="F25" s="70">
        <v>750</v>
      </c>
      <c r="G25" s="71"/>
      <c r="H25" s="71"/>
      <c r="I25" s="117"/>
    </row>
    <row r="26" spans="1:9" x14ac:dyDescent="0.25">
      <c r="A26" s="68" t="s">
        <v>556</v>
      </c>
      <c r="B26" s="69" t="s">
        <v>319</v>
      </c>
      <c r="C26" s="69" t="s">
        <v>369</v>
      </c>
      <c r="D26" s="71">
        <v>2200</v>
      </c>
      <c r="E26" s="70">
        <v>200</v>
      </c>
      <c r="F26" s="70">
        <v>2000</v>
      </c>
      <c r="G26" s="70"/>
      <c r="H26" s="71"/>
      <c r="I26" s="117"/>
    </row>
    <row r="27" spans="1:9" x14ac:dyDescent="0.25">
      <c r="A27" s="68" t="s">
        <v>557</v>
      </c>
      <c r="B27" s="69" t="s">
        <v>317</v>
      </c>
      <c r="C27" s="69" t="s">
        <v>369</v>
      </c>
      <c r="D27" s="71">
        <v>1500</v>
      </c>
      <c r="E27" s="70">
        <v>1500</v>
      </c>
      <c r="F27" s="70"/>
      <c r="G27" s="70"/>
      <c r="H27" s="71"/>
      <c r="I27" s="117"/>
    </row>
    <row r="28" spans="1:9" x14ac:dyDescent="0.25">
      <c r="A28" s="68" t="s">
        <v>558</v>
      </c>
      <c r="B28" s="69" t="s">
        <v>317</v>
      </c>
      <c r="C28" s="69" t="s">
        <v>369</v>
      </c>
      <c r="D28" s="71">
        <v>2200</v>
      </c>
      <c r="E28" s="70">
        <v>200</v>
      </c>
      <c r="F28" s="70">
        <v>2000</v>
      </c>
      <c r="G28" s="70"/>
      <c r="H28" s="71"/>
      <c r="I28" s="117"/>
    </row>
    <row r="29" spans="1:9" x14ac:dyDescent="0.25">
      <c r="A29" s="68" t="s">
        <v>559</v>
      </c>
      <c r="B29" s="69" t="s">
        <v>317</v>
      </c>
      <c r="C29" s="69" t="s">
        <v>369</v>
      </c>
      <c r="D29" s="71">
        <v>6000</v>
      </c>
      <c r="E29" s="70">
        <v>1500</v>
      </c>
      <c r="F29" s="70">
        <v>1500</v>
      </c>
      <c r="G29" s="70">
        <v>1500</v>
      </c>
      <c r="H29" s="71">
        <v>1500</v>
      </c>
      <c r="I29" s="117">
        <v>0.15</v>
      </c>
    </row>
    <row r="30" spans="1:9" x14ac:dyDescent="0.25">
      <c r="A30" s="68" t="s">
        <v>560</v>
      </c>
      <c r="B30" s="69" t="s">
        <v>317</v>
      </c>
      <c r="C30" s="69" t="s">
        <v>369</v>
      </c>
      <c r="D30" s="71">
        <v>8750</v>
      </c>
      <c r="E30" s="70"/>
      <c r="F30" s="70">
        <v>750</v>
      </c>
      <c r="G30" s="70">
        <v>8000</v>
      </c>
      <c r="H30" s="71"/>
      <c r="I30" s="117">
        <v>0.1</v>
      </c>
    </row>
    <row r="31" spans="1:9" x14ac:dyDescent="0.25">
      <c r="A31" s="68" t="s">
        <v>561</v>
      </c>
      <c r="B31" s="69" t="s">
        <v>319</v>
      </c>
      <c r="C31" s="69" t="s">
        <v>369</v>
      </c>
      <c r="D31" s="71">
        <v>-1800</v>
      </c>
      <c r="E31" s="70"/>
      <c r="F31" s="70"/>
      <c r="G31" s="70"/>
      <c r="H31" s="71">
        <v>-1800</v>
      </c>
      <c r="I31" s="117"/>
    </row>
    <row r="32" spans="1:9" x14ac:dyDescent="0.25">
      <c r="A32" s="68" t="s">
        <v>562</v>
      </c>
      <c r="B32" s="69" t="s">
        <v>319</v>
      </c>
      <c r="C32" s="69" t="s">
        <v>369</v>
      </c>
      <c r="D32" s="71">
        <v>-1400</v>
      </c>
      <c r="E32" s="70"/>
      <c r="F32" s="70"/>
      <c r="G32" s="70"/>
      <c r="H32" s="71">
        <v>-1400</v>
      </c>
      <c r="I32" s="117"/>
    </row>
    <row r="33" spans="1:9" x14ac:dyDescent="0.25">
      <c r="A33" s="68" t="s">
        <v>563</v>
      </c>
      <c r="B33" s="69" t="s">
        <v>317</v>
      </c>
      <c r="C33" s="69" t="s">
        <v>369</v>
      </c>
      <c r="D33" s="71">
        <v>3000</v>
      </c>
      <c r="E33" s="70"/>
      <c r="F33" s="70">
        <v>200</v>
      </c>
      <c r="G33" s="70">
        <v>2800</v>
      </c>
      <c r="H33" s="71"/>
      <c r="I33" s="117">
        <v>0.05</v>
      </c>
    </row>
    <row r="34" spans="1:9" x14ac:dyDescent="0.25">
      <c r="A34" s="68" t="s">
        <v>564</v>
      </c>
      <c r="B34" s="69" t="s">
        <v>319</v>
      </c>
      <c r="C34" s="69" t="s">
        <v>369</v>
      </c>
      <c r="D34" s="71">
        <v>-840</v>
      </c>
      <c r="E34" s="70"/>
      <c r="F34" s="70"/>
      <c r="G34" s="70"/>
      <c r="H34" s="71">
        <v>-840</v>
      </c>
      <c r="I34" s="117"/>
    </row>
    <row r="35" spans="1:9" x14ac:dyDescent="0.25">
      <c r="A35" s="68" t="s">
        <v>565</v>
      </c>
      <c r="B35" s="69" t="s">
        <v>319</v>
      </c>
      <c r="C35" s="69" t="s">
        <v>369</v>
      </c>
      <c r="D35" s="71">
        <v>-700</v>
      </c>
      <c r="E35" s="70"/>
      <c r="F35" s="70"/>
      <c r="G35" s="70"/>
      <c r="H35" s="71">
        <v>-700</v>
      </c>
      <c r="I35" s="117"/>
    </row>
    <row r="36" spans="1:9" x14ac:dyDescent="0.25">
      <c r="A36" s="68" t="s">
        <v>566</v>
      </c>
      <c r="B36" s="69" t="s">
        <v>317</v>
      </c>
      <c r="C36" s="69" t="s">
        <v>369</v>
      </c>
      <c r="D36" s="71">
        <v>3000</v>
      </c>
      <c r="E36" s="70"/>
      <c r="F36" s="70">
        <v>200</v>
      </c>
      <c r="G36" s="70">
        <v>2800</v>
      </c>
      <c r="H36" s="71"/>
      <c r="I36" s="117">
        <v>0.05</v>
      </c>
    </row>
    <row r="37" spans="1:9" x14ac:dyDescent="0.25">
      <c r="A37" s="68" t="s">
        <v>567</v>
      </c>
      <c r="B37" s="69" t="s">
        <v>319</v>
      </c>
      <c r="C37" s="69" t="s">
        <v>369</v>
      </c>
      <c r="D37" s="71">
        <v>-840</v>
      </c>
      <c r="E37" s="70"/>
      <c r="F37" s="70"/>
      <c r="G37" s="70"/>
      <c r="H37" s="71">
        <v>-840</v>
      </c>
      <c r="I37" s="117"/>
    </row>
    <row r="38" spans="1:9" x14ac:dyDescent="0.25">
      <c r="A38" s="68" t="s">
        <v>568</v>
      </c>
      <c r="B38" s="69" t="s">
        <v>319</v>
      </c>
      <c r="C38" s="69" t="s">
        <v>369</v>
      </c>
      <c r="D38" s="71">
        <v>-700</v>
      </c>
      <c r="E38" s="70"/>
      <c r="F38" s="70"/>
      <c r="G38" s="70"/>
      <c r="H38" s="71">
        <v>-700</v>
      </c>
      <c r="I38" s="117"/>
    </row>
    <row r="39" spans="1:9" x14ac:dyDescent="0.25">
      <c r="A39" s="68" t="s">
        <v>569</v>
      </c>
      <c r="B39" s="69" t="s">
        <v>317</v>
      </c>
      <c r="C39" s="69" t="s">
        <v>369</v>
      </c>
      <c r="D39" s="71">
        <v>3000</v>
      </c>
      <c r="E39" s="70"/>
      <c r="F39" s="70">
        <v>200</v>
      </c>
      <c r="G39" s="70">
        <v>2800</v>
      </c>
      <c r="H39" s="71"/>
      <c r="I39" s="117">
        <v>0.05</v>
      </c>
    </row>
    <row r="40" spans="1:9" x14ac:dyDescent="0.25">
      <c r="A40" s="68" t="s">
        <v>570</v>
      </c>
      <c r="B40" s="69" t="s">
        <v>319</v>
      </c>
      <c r="C40" s="69" t="s">
        <v>369</v>
      </c>
      <c r="D40" s="71">
        <v>-840</v>
      </c>
      <c r="E40" s="70"/>
      <c r="F40" s="70"/>
      <c r="G40" s="70"/>
      <c r="H40" s="71">
        <v>-840</v>
      </c>
      <c r="I40" s="117"/>
    </row>
    <row r="41" spans="1:9" x14ac:dyDescent="0.25">
      <c r="A41" s="68" t="s">
        <v>571</v>
      </c>
      <c r="B41" s="69" t="s">
        <v>319</v>
      </c>
      <c r="C41" s="69" t="s">
        <v>369</v>
      </c>
      <c r="D41" s="71">
        <v>-700</v>
      </c>
      <c r="E41" s="70"/>
      <c r="F41" s="70"/>
      <c r="G41" s="70"/>
      <c r="H41" s="71">
        <v>-700</v>
      </c>
      <c r="I41" s="117"/>
    </row>
    <row r="42" spans="1:9" x14ac:dyDescent="0.25">
      <c r="A42" s="68" t="s">
        <v>572</v>
      </c>
      <c r="B42" s="69" t="s">
        <v>317</v>
      </c>
      <c r="C42" s="69" t="s">
        <v>369</v>
      </c>
      <c r="D42" s="71">
        <v>2300</v>
      </c>
      <c r="E42" s="70"/>
      <c r="F42" s="70"/>
      <c r="G42" s="70"/>
      <c r="H42" s="71"/>
      <c r="I42" s="117">
        <v>0.1</v>
      </c>
    </row>
    <row r="43" spans="1:9" x14ac:dyDescent="0.25">
      <c r="A43" s="68" t="s">
        <v>573</v>
      </c>
      <c r="B43" s="69" t="s">
        <v>317</v>
      </c>
      <c r="C43" s="69" t="s">
        <v>315</v>
      </c>
      <c r="D43" s="71">
        <v>18500</v>
      </c>
      <c r="E43" s="71">
        <v>15000</v>
      </c>
      <c r="F43" s="71">
        <v>3500</v>
      </c>
      <c r="G43" s="71"/>
      <c r="H43" s="71"/>
      <c r="I43" s="117">
        <v>1.4</v>
      </c>
    </row>
    <row r="44" spans="1:9" x14ac:dyDescent="0.25">
      <c r="A44" s="68" t="s">
        <v>574</v>
      </c>
      <c r="B44" s="69" t="s">
        <v>319</v>
      </c>
      <c r="C44" s="69" t="s">
        <v>315</v>
      </c>
      <c r="D44" s="71">
        <v>45000</v>
      </c>
      <c r="E44" s="70"/>
      <c r="F44" s="70"/>
      <c r="G44" s="71">
        <v>32000</v>
      </c>
      <c r="H44" s="71">
        <v>13000</v>
      </c>
      <c r="I44" s="117"/>
    </row>
    <row r="45" spans="1:9" x14ac:dyDescent="0.25">
      <c r="A45" s="68" t="s">
        <v>575</v>
      </c>
      <c r="B45" s="69" t="s">
        <v>317</v>
      </c>
      <c r="C45" s="69" t="s">
        <v>315</v>
      </c>
      <c r="D45" s="71">
        <v>15500</v>
      </c>
      <c r="E45" s="71">
        <v>15500</v>
      </c>
      <c r="F45" s="70"/>
      <c r="G45" s="71"/>
      <c r="H45" s="71"/>
      <c r="I45" s="117"/>
    </row>
    <row r="46" spans="1:9" x14ac:dyDescent="0.25">
      <c r="A46" s="68" t="s">
        <v>576</v>
      </c>
      <c r="B46" s="69" t="s">
        <v>319</v>
      </c>
      <c r="C46" s="69" t="s">
        <v>382</v>
      </c>
      <c r="D46" s="70">
        <v>500</v>
      </c>
      <c r="E46" s="70">
        <v>500</v>
      </c>
      <c r="F46" s="70"/>
      <c r="G46" s="71"/>
      <c r="H46" s="71"/>
      <c r="I46" s="117"/>
    </row>
    <row r="47" spans="1:9" x14ac:dyDescent="0.25">
      <c r="A47" s="68" t="s">
        <v>577</v>
      </c>
      <c r="B47" s="69" t="s">
        <v>319</v>
      </c>
      <c r="C47" s="69" t="s">
        <v>382</v>
      </c>
      <c r="D47" s="71">
        <v>13000</v>
      </c>
      <c r="E47" s="71"/>
      <c r="F47" s="71"/>
      <c r="G47" s="71"/>
      <c r="H47" s="71">
        <v>13700</v>
      </c>
      <c r="I47" s="117"/>
    </row>
    <row r="48" spans="1:9" x14ac:dyDescent="0.25">
      <c r="A48" s="68" t="s">
        <v>578</v>
      </c>
      <c r="B48" s="69" t="s">
        <v>319</v>
      </c>
      <c r="C48" s="69" t="s">
        <v>382</v>
      </c>
      <c r="D48" s="71">
        <v>500</v>
      </c>
      <c r="E48" s="71">
        <v>500</v>
      </c>
      <c r="F48" s="71"/>
      <c r="G48" s="71"/>
      <c r="H48" s="71"/>
      <c r="I48" s="117"/>
    </row>
    <row r="49" spans="1:9" x14ac:dyDescent="0.25">
      <c r="A49" s="68" t="s">
        <v>407</v>
      </c>
      <c r="B49" s="69" t="s">
        <v>319</v>
      </c>
      <c r="C49" s="69" t="s">
        <v>382</v>
      </c>
      <c r="D49" s="71">
        <v>2000</v>
      </c>
      <c r="E49" s="71"/>
      <c r="F49" s="71">
        <v>2000</v>
      </c>
      <c r="G49" s="71"/>
      <c r="H49" s="71"/>
      <c r="I49" s="117"/>
    </row>
    <row r="50" spans="1:9" x14ac:dyDescent="0.25">
      <c r="A50" s="68" t="s">
        <v>579</v>
      </c>
      <c r="B50" s="69" t="s">
        <v>319</v>
      </c>
      <c r="C50" s="69" t="s">
        <v>352</v>
      </c>
      <c r="D50" s="71">
        <v>-700</v>
      </c>
      <c r="E50" s="71"/>
      <c r="F50" s="71"/>
      <c r="G50" s="71"/>
      <c r="H50" s="71">
        <v>-700</v>
      </c>
      <c r="I50" s="117"/>
    </row>
    <row r="51" spans="1:9" x14ac:dyDescent="0.25">
      <c r="A51" s="68" t="s">
        <v>580</v>
      </c>
      <c r="B51" s="69" t="s">
        <v>317</v>
      </c>
      <c r="C51" s="69" t="s">
        <v>352</v>
      </c>
      <c r="D51" s="71">
        <v>5500</v>
      </c>
      <c r="E51" s="71">
        <v>2000</v>
      </c>
      <c r="F51" s="71">
        <v>3500</v>
      </c>
      <c r="G51" s="71"/>
      <c r="H51" s="71"/>
      <c r="I51" s="117">
        <v>0.8</v>
      </c>
    </row>
    <row r="52" spans="1:9" x14ac:dyDescent="0.25">
      <c r="A52" s="68" t="s">
        <v>581</v>
      </c>
      <c r="B52" s="69" t="s">
        <v>317</v>
      </c>
      <c r="C52" s="69" t="s">
        <v>352</v>
      </c>
      <c r="D52" s="71">
        <v>24000</v>
      </c>
      <c r="E52" s="70">
        <v>6000</v>
      </c>
      <c r="F52" s="70">
        <v>6000</v>
      </c>
      <c r="G52" s="70">
        <v>6000</v>
      </c>
      <c r="H52" s="70">
        <v>6000</v>
      </c>
      <c r="I52" s="117"/>
    </row>
    <row r="53" spans="1:9" x14ac:dyDescent="0.25">
      <c r="A53" s="68" t="s">
        <v>582</v>
      </c>
      <c r="B53" s="69" t="s">
        <v>317</v>
      </c>
      <c r="C53" s="69" t="s">
        <v>352</v>
      </c>
      <c r="D53" s="71">
        <v>1000</v>
      </c>
      <c r="E53" s="71">
        <v>1000</v>
      </c>
      <c r="F53" s="71"/>
      <c r="G53" s="71"/>
      <c r="H53" s="71"/>
      <c r="I53" s="117"/>
    </row>
  </sheetData>
  <pageMargins left="0.7" right="0.7" top="0.75" bottom="0.75" header="0.3" footer="0.3"/>
  <pageSetup paperSize="9" scale="5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'https://bkmob.sharepoint.com/sites/konomiplan2020-2023/Delte dokumenter/2020-2023/[Investeringsplan 2020-2023.xlsx]Oppsummering'!#REF!</xm:f>
          </x14:formula1>
          <xm:sqref>C2:C53</xm:sqref>
        </x14:dataValidation>
        <x14:dataValidation type="list" allowBlank="1" showInputMessage="1" showErrorMessage="1">
          <x14:formula1>
            <xm:f>'https://bkmob.sharepoint.com/sites/konomiplan2020-2023/Delte dokumenter/2020-2023/[Investeringsplan 2020-2023.xlsx]Oppsummering'!#REF!</xm:f>
          </x14:formula1>
          <xm:sqref>B2:B51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0B774B0C11C54CA70BA0417743E3FB" ma:contentTypeVersion="2" ma:contentTypeDescription="Opprett et nytt dokument." ma:contentTypeScope="" ma:versionID="db264bac1ff5b04a3246a2b948193740">
  <xsd:schema xmlns:xsd="http://www.w3.org/2001/XMLSchema" xmlns:xs="http://www.w3.org/2001/XMLSchema" xmlns:p="http://schemas.microsoft.com/office/2006/metadata/properties" xmlns:ns2="9c50ecf3-8e7f-4591-a31a-4be26c943947" targetNamespace="http://schemas.microsoft.com/office/2006/metadata/properties" ma:root="true" ma:fieldsID="4ee618922f37af592d74a802ef9b2985" ns2:_="">
    <xsd:import namespace="9c50ecf3-8e7f-4591-a31a-4be26c943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0ecf3-8e7f-4591-a31a-4be26c943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F0D9B7-2A66-441A-8ABE-088F62E97D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2A970C-9AC5-440C-9C43-34E74CEFA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0ecf3-8e7f-4591-a31a-4be26c943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ADEA11-010E-4FAF-BE6E-2861D4DB98D1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9c50ecf3-8e7f-4591-a31a-4be26c94394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Driftsramme tjenesteproduksjon</vt:lpstr>
      <vt:lpstr>Fordeling driftsramme</vt:lpstr>
      <vt:lpstr>Driftsbudsjett endringer</vt:lpstr>
      <vt:lpstr>Tidligere vedtatte endringer</vt:lpstr>
      <vt:lpstr>Spesifiserte behov og rammered.</vt:lpstr>
      <vt:lpstr>Investeringsplan</vt:lpstr>
      <vt:lpstr>Uprioriterte investeringsprosje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Eirik Eide Haugmo</cp:lastModifiedBy>
  <cp:revision/>
  <cp:lastPrinted>2019-11-07T07:55:53Z</cp:lastPrinted>
  <dcterms:created xsi:type="dcterms:W3CDTF">2019-09-16T12:37:49Z</dcterms:created>
  <dcterms:modified xsi:type="dcterms:W3CDTF">2019-11-07T07:57:20Z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0x0101003D0B774B0C11C54CA70BA0417743E3FB</vt:lpwstr>
  </property>
</Properties>
</file>